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edicte/a.my_documents/a.GAMMA/a.AGATA/a.AMB/AGATA Resource Manager/a.Capital funds/a.Phase 2 - planning core expenses per country-2021-2031/"/>
    </mc:Choice>
  </mc:AlternateContent>
  <xr:revisionPtr revIDLastSave="0" documentId="13_ncr:1_{6B80B625-2825-5A4B-91F7-92276455F908}" xr6:coauthVersionLast="36" xr6:coauthVersionMax="36" xr10:uidLastSave="{00000000-0000-0000-0000-000000000000}"/>
  <bookViews>
    <workbookView xWindow="1680" yWindow="500" windowWidth="23740" windowHeight="20480" activeTab="5" xr2:uid="{B5A090D1-8EB1-7541-9BD5-08102B136423}"/>
  </bookViews>
  <sheets>
    <sheet name="MoU-Proj Def" sheetId="9" r:id="rId1"/>
    <sheet name="Summary" sheetId="8" r:id="rId2"/>
    <sheet name="estimation caps_cryos unit cost" sheetId="19" r:id="rId3"/>
    <sheet name="BULGARIA-Core 2021-2030" sheetId="14" r:id="rId4"/>
    <sheet name="FINLAND-Core 2021-2030" sheetId="15" r:id="rId5"/>
    <sheet name="FRANCE-Core 2021-2031" sheetId="6" r:id="rId6"/>
    <sheet name="GERMANY-Core 2021-2030" sheetId="7" r:id="rId7"/>
    <sheet name="HUNGARY-Core 2021-2030" sheetId="18" r:id="rId8"/>
    <sheet name="ITALY-Core 2021-2030" sheetId="1" r:id="rId9"/>
    <sheet name="POLAND-Core 2021-2030" sheetId="16" r:id="rId10"/>
    <sheet name="SPAIN-Core 2021-2030" sheetId="13" r:id="rId11"/>
    <sheet name="SWEDEN-Core 2021-2030" sheetId="12" r:id="rId12"/>
    <sheet name="TURKEY-Core 2021-2030" sheetId="17" r:id="rId13"/>
    <sheet name="UK-Core 2020-2030" sheetId="11" r:id="rId14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P6" i="1"/>
  <c r="L6" i="1"/>
  <c r="O6" i="1" l="1"/>
  <c r="J7" i="1" l="1"/>
  <c r="J8" i="1"/>
  <c r="C45" i="9" l="1"/>
  <c r="C11" i="8"/>
  <c r="D42" i="9" l="1"/>
  <c r="H89" i="19" l="1"/>
  <c r="H86" i="19"/>
  <c r="H100" i="19"/>
  <c r="L85" i="19"/>
  <c r="C83" i="19"/>
  <c r="H104" i="19"/>
  <c r="D92" i="19"/>
  <c r="E88" i="19"/>
  <c r="E92" i="19" s="1"/>
  <c r="F88" i="19"/>
  <c r="F92" i="19" s="1"/>
  <c r="G88" i="19"/>
  <c r="G92" i="19" s="1"/>
  <c r="H91" i="19"/>
  <c r="D88" i="19"/>
  <c r="H87" i="19"/>
  <c r="G83" i="19"/>
  <c r="F83" i="19"/>
  <c r="F85" i="19" s="1"/>
  <c r="E83" i="19"/>
  <c r="D83" i="19"/>
  <c r="D85" i="19" s="1"/>
  <c r="L75" i="19"/>
  <c r="E75" i="19"/>
  <c r="D75" i="19"/>
  <c r="C75" i="19"/>
  <c r="L74" i="19"/>
  <c r="K74" i="19"/>
  <c r="J74" i="19"/>
  <c r="I74" i="19"/>
  <c r="H74" i="19"/>
  <c r="G74" i="19"/>
  <c r="F74" i="19"/>
  <c r="E74" i="19"/>
  <c r="D74" i="19"/>
  <c r="C74" i="19"/>
  <c r="L73" i="19"/>
  <c r="K73" i="19"/>
  <c r="J73" i="19"/>
  <c r="I73" i="19"/>
  <c r="H73" i="19"/>
  <c r="G73" i="19"/>
  <c r="F73" i="19"/>
  <c r="E73" i="19"/>
  <c r="D73" i="19"/>
  <c r="C73" i="19"/>
  <c r="L72" i="19"/>
  <c r="K72" i="19"/>
  <c r="J72" i="19"/>
  <c r="I72" i="19"/>
  <c r="H72" i="19"/>
  <c r="G72" i="19"/>
  <c r="F72" i="19"/>
  <c r="E72" i="19"/>
  <c r="D72" i="19"/>
  <c r="C72" i="19"/>
  <c r="F71" i="19"/>
  <c r="E71" i="19"/>
  <c r="C71" i="19"/>
  <c r="L70" i="19"/>
  <c r="K70" i="19"/>
  <c r="J70" i="19"/>
  <c r="I70" i="19"/>
  <c r="H70" i="19"/>
  <c r="G70" i="19"/>
  <c r="F70" i="19"/>
  <c r="E70" i="19"/>
  <c r="D70" i="19"/>
  <c r="C70" i="19"/>
  <c r="L69" i="19"/>
  <c r="K69" i="19"/>
  <c r="J69" i="19"/>
  <c r="I69" i="19"/>
  <c r="G69" i="19"/>
  <c r="F69" i="19"/>
  <c r="D69" i="19"/>
  <c r="L68" i="19"/>
  <c r="K68" i="19"/>
  <c r="J68" i="19"/>
  <c r="I68" i="19"/>
  <c r="F68" i="19"/>
  <c r="E68" i="19"/>
  <c r="C68" i="19"/>
  <c r="L66" i="19"/>
  <c r="K66" i="19"/>
  <c r="J66" i="19"/>
  <c r="I66" i="19"/>
  <c r="H66" i="19"/>
  <c r="G66" i="19"/>
  <c r="F66" i="19"/>
  <c r="E66" i="19"/>
  <c r="D66" i="19"/>
  <c r="C66" i="19"/>
  <c r="L65" i="19"/>
  <c r="K65" i="19"/>
  <c r="J65" i="19"/>
  <c r="I65" i="19"/>
  <c r="H65" i="19"/>
  <c r="G65" i="19"/>
  <c r="F65" i="19"/>
  <c r="E65" i="19"/>
  <c r="D65" i="19"/>
  <c r="C65" i="19"/>
  <c r="L64" i="19"/>
  <c r="K64" i="19"/>
  <c r="J64" i="19"/>
  <c r="I64" i="19"/>
  <c r="H64" i="19"/>
  <c r="G64" i="19"/>
  <c r="F64" i="19"/>
  <c r="E64" i="19"/>
  <c r="D64" i="19"/>
  <c r="C64" i="19"/>
  <c r="L63" i="19"/>
  <c r="K63" i="19"/>
  <c r="J63" i="19"/>
  <c r="I63" i="19"/>
  <c r="H63" i="19"/>
  <c r="G63" i="19"/>
  <c r="F63" i="19"/>
  <c r="E63" i="19"/>
  <c r="D63" i="19"/>
  <c r="C63" i="19"/>
  <c r="L62" i="19"/>
  <c r="K62" i="19"/>
  <c r="J62" i="19"/>
  <c r="I62" i="19"/>
  <c r="H62" i="19"/>
  <c r="G62" i="19"/>
  <c r="F62" i="19"/>
  <c r="E62" i="19"/>
  <c r="D62" i="19"/>
  <c r="C62" i="19"/>
  <c r="L53" i="19"/>
  <c r="E53" i="19"/>
  <c r="D53" i="19"/>
  <c r="C53" i="19"/>
  <c r="L52" i="19"/>
  <c r="K52" i="19"/>
  <c r="J52" i="19"/>
  <c r="I52" i="19"/>
  <c r="H52" i="19"/>
  <c r="G52" i="19"/>
  <c r="F52" i="19"/>
  <c r="E52" i="19"/>
  <c r="D52" i="19"/>
  <c r="C52" i="19"/>
  <c r="L51" i="19"/>
  <c r="K51" i="19"/>
  <c r="J51" i="19"/>
  <c r="I51" i="19"/>
  <c r="H51" i="19"/>
  <c r="G51" i="19"/>
  <c r="F51" i="19"/>
  <c r="E51" i="19"/>
  <c r="D51" i="19"/>
  <c r="C51" i="19"/>
  <c r="L50" i="19"/>
  <c r="K50" i="19"/>
  <c r="J50" i="19"/>
  <c r="I50" i="19"/>
  <c r="H50" i="19"/>
  <c r="G50" i="19"/>
  <c r="F50" i="19"/>
  <c r="E50" i="19"/>
  <c r="D50" i="19"/>
  <c r="C50" i="19"/>
  <c r="F49" i="19"/>
  <c r="E49" i="19"/>
  <c r="C49" i="19"/>
  <c r="L48" i="19"/>
  <c r="K48" i="19"/>
  <c r="J48" i="19"/>
  <c r="I48" i="19"/>
  <c r="H48" i="19"/>
  <c r="G48" i="19"/>
  <c r="F48" i="19"/>
  <c r="E48" i="19"/>
  <c r="C48" i="19"/>
  <c r="L47" i="19"/>
  <c r="K47" i="19"/>
  <c r="J47" i="19"/>
  <c r="I47" i="19"/>
  <c r="H47" i="19"/>
  <c r="G47" i="19"/>
  <c r="F47" i="19"/>
  <c r="D47" i="19"/>
  <c r="L46" i="19"/>
  <c r="K46" i="19"/>
  <c r="J46" i="19"/>
  <c r="I46" i="19"/>
  <c r="H46" i="19"/>
  <c r="F46" i="19"/>
  <c r="E46" i="19"/>
  <c r="C46" i="19"/>
  <c r="L43" i="19"/>
  <c r="K43" i="19"/>
  <c r="J43" i="19"/>
  <c r="I43" i="19"/>
  <c r="H43" i="19"/>
  <c r="G43" i="19"/>
  <c r="F43" i="19"/>
  <c r="E43" i="19"/>
  <c r="D43" i="19"/>
  <c r="L42" i="19"/>
  <c r="K42" i="19"/>
  <c r="J42" i="19"/>
  <c r="I42" i="19"/>
  <c r="H42" i="19"/>
  <c r="G42" i="19"/>
  <c r="F42" i="19"/>
  <c r="E42" i="19"/>
  <c r="D42" i="19"/>
  <c r="C42" i="19"/>
  <c r="L41" i="19"/>
  <c r="K41" i="19"/>
  <c r="J41" i="19"/>
  <c r="I41" i="19"/>
  <c r="H41" i="19"/>
  <c r="G41" i="19"/>
  <c r="F41" i="19"/>
  <c r="E41" i="19"/>
  <c r="D41" i="19"/>
  <c r="C41" i="19"/>
  <c r="L40" i="19"/>
  <c r="K40" i="19"/>
  <c r="J40" i="19"/>
  <c r="I40" i="19"/>
  <c r="H40" i="19"/>
  <c r="G40" i="19"/>
  <c r="F40" i="19"/>
  <c r="E40" i="19"/>
  <c r="D40" i="19"/>
  <c r="C40" i="19"/>
  <c r="C45" i="19" s="1"/>
  <c r="L35" i="19"/>
  <c r="E35" i="19"/>
  <c r="D35" i="19"/>
  <c r="C35" i="19"/>
  <c r="L34" i="19"/>
  <c r="K34" i="19"/>
  <c r="J34" i="19"/>
  <c r="I34" i="19"/>
  <c r="H34" i="19"/>
  <c r="G34" i="19"/>
  <c r="F34" i="19"/>
  <c r="E34" i="19"/>
  <c r="D34" i="19"/>
  <c r="C34" i="19"/>
  <c r="L33" i="19"/>
  <c r="K33" i="19"/>
  <c r="J33" i="19"/>
  <c r="I33" i="19"/>
  <c r="H33" i="19"/>
  <c r="G33" i="19"/>
  <c r="F33" i="19"/>
  <c r="E33" i="19"/>
  <c r="D33" i="19"/>
  <c r="C33" i="19"/>
  <c r="L32" i="19"/>
  <c r="K32" i="19"/>
  <c r="J32" i="19"/>
  <c r="I32" i="19"/>
  <c r="H32" i="19"/>
  <c r="G32" i="19"/>
  <c r="F32" i="19"/>
  <c r="E32" i="19"/>
  <c r="D32" i="19"/>
  <c r="C32" i="19"/>
  <c r="F31" i="19"/>
  <c r="E31" i="19"/>
  <c r="C31" i="19"/>
  <c r="L30" i="19"/>
  <c r="K30" i="19"/>
  <c r="J30" i="19"/>
  <c r="I30" i="19"/>
  <c r="H30" i="19"/>
  <c r="G30" i="19"/>
  <c r="F30" i="19"/>
  <c r="E30" i="19"/>
  <c r="C30" i="19"/>
  <c r="L29" i="19"/>
  <c r="K29" i="19"/>
  <c r="J29" i="19"/>
  <c r="I29" i="19"/>
  <c r="H29" i="19"/>
  <c r="G29" i="19"/>
  <c r="F29" i="19"/>
  <c r="D29" i="19"/>
  <c r="L28" i="19"/>
  <c r="K28" i="19"/>
  <c r="J28" i="19"/>
  <c r="I28" i="19"/>
  <c r="H28" i="19"/>
  <c r="F28" i="19"/>
  <c r="E28" i="19"/>
  <c r="C28" i="19"/>
  <c r="L25" i="19"/>
  <c r="K25" i="19"/>
  <c r="J25" i="19"/>
  <c r="I25" i="19"/>
  <c r="H25" i="19"/>
  <c r="G25" i="19"/>
  <c r="F25" i="19"/>
  <c r="E25" i="19"/>
  <c r="D25" i="19"/>
  <c r="C25" i="19"/>
  <c r="L24" i="19"/>
  <c r="K24" i="19"/>
  <c r="J24" i="19"/>
  <c r="I24" i="19"/>
  <c r="H24" i="19"/>
  <c r="G24" i="19"/>
  <c r="F24" i="19"/>
  <c r="E24" i="19"/>
  <c r="D24" i="19"/>
  <c r="C24" i="19"/>
  <c r="L23" i="19"/>
  <c r="K23" i="19"/>
  <c r="J23" i="19"/>
  <c r="I23" i="19"/>
  <c r="H23" i="19"/>
  <c r="G23" i="19"/>
  <c r="F23" i="19"/>
  <c r="E23" i="19"/>
  <c r="D23" i="19"/>
  <c r="C23" i="19"/>
  <c r="L22" i="19"/>
  <c r="K22" i="19"/>
  <c r="J22" i="19"/>
  <c r="I22" i="19"/>
  <c r="H22" i="19"/>
  <c r="G22" i="19"/>
  <c r="F22" i="19"/>
  <c r="E22" i="19"/>
  <c r="D22" i="19"/>
  <c r="C22" i="19"/>
  <c r="K15" i="19"/>
  <c r="K53" i="19" s="1"/>
  <c r="J15" i="19"/>
  <c r="J53" i="19" s="1"/>
  <c r="I15" i="19"/>
  <c r="I53" i="19" s="1"/>
  <c r="H15" i="19"/>
  <c r="H75" i="19" s="1"/>
  <c r="G15" i="19"/>
  <c r="G75" i="19" s="1"/>
  <c r="F15" i="19"/>
  <c r="F75" i="19" s="1"/>
  <c r="M14" i="19"/>
  <c r="M13" i="19"/>
  <c r="M12" i="19"/>
  <c r="L11" i="19"/>
  <c r="L71" i="19" s="1"/>
  <c r="K11" i="19"/>
  <c r="K71" i="19" s="1"/>
  <c r="J11" i="19"/>
  <c r="J71" i="19" s="1"/>
  <c r="I11" i="19"/>
  <c r="I49" i="19" s="1"/>
  <c r="H11" i="19"/>
  <c r="H31" i="19" s="1"/>
  <c r="G11" i="19"/>
  <c r="D11" i="19"/>
  <c r="D71" i="19" s="1"/>
  <c r="M10" i="19"/>
  <c r="E9" i="19"/>
  <c r="E47" i="19" s="1"/>
  <c r="C9" i="19"/>
  <c r="G8" i="19"/>
  <c r="G28" i="19" s="1"/>
  <c r="D8" i="19"/>
  <c r="D28" i="19" s="1"/>
  <c r="L7" i="19"/>
  <c r="L67" i="19" s="1"/>
  <c r="K7" i="19"/>
  <c r="J7" i="19"/>
  <c r="J67" i="19" s="1"/>
  <c r="I7" i="19"/>
  <c r="I27" i="19" s="1"/>
  <c r="H7" i="19"/>
  <c r="H27" i="19" s="1"/>
  <c r="G7" i="19"/>
  <c r="F7" i="19"/>
  <c r="E7" i="19"/>
  <c r="E67" i="19" s="1"/>
  <c r="D7" i="19"/>
  <c r="D67" i="19" s="1"/>
  <c r="C7" i="19"/>
  <c r="C27" i="19" s="1"/>
  <c r="L6" i="19"/>
  <c r="L26" i="19" s="1"/>
  <c r="K6" i="19"/>
  <c r="J6" i="19"/>
  <c r="J26" i="19" s="1"/>
  <c r="I6" i="19"/>
  <c r="H6" i="19"/>
  <c r="G6" i="19"/>
  <c r="F6" i="19"/>
  <c r="E6" i="19"/>
  <c r="D6" i="19"/>
  <c r="D26" i="19" s="1"/>
  <c r="C6" i="19"/>
  <c r="C26" i="19" s="1"/>
  <c r="P5" i="19"/>
  <c r="M5" i="19"/>
  <c r="P4" i="19"/>
  <c r="M4" i="19"/>
  <c r="D45" i="19" l="1"/>
  <c r="D44" i="19"/>
  <c r="G93" i="19"/>
  <c r="G94" i="19" s="1"/>
  <c r="F93" i="19"/>
  <c r="F94" i="19" s="1"/>
  <c r="E93" i="19"/>
  <c r="E94" i="19" s="1"/>
  <c r="D93" i="19"/>
  <c r="D94" i="19" s="1"/>
  <c r="D89" i="19"/>
  <c r="D90" i="19" s="1"/>
  <c r="J45" i="19"/>
  <c r="G85" i="19"/>
  <c r="G86" i="19" s="1"/>
  <c r="K45" i="19"/>
  <c r="H44" i="19"/>
  <c r="G45" i="19"/>
  <c r="E85" i="19"/>
  <c r="E86" i="19" s="1"/>
  <c r="F86" i="19"/>
  <c r="C44" i="19"/>
  <c r="G89" i="19"/>
  <c r="G90" i="19" s="1"/>
  <c r="F89" i="19"/>
  <c r="F90" i="19" s="1"/>
  <c r="E89" i="19"/>
  <c r="M9" i="19"/>
  <c r="D86" i="19"/>
  <c r="D68" i="19"/>
  <c r="D76" i="19" s="1"/>
  <c r="C29" i="19"/>
  <c r="C36" i="19" s="1"/>
  <c r="E16" i="19"/>
  <c r="I44" i="19"/>
  <c r="G16" i="19"/>
  <c r="F67" i="19"/>
  <c r="F76" i="19" s="1"/>
  <c r="H84" i="19"/>
  <c r="H45" i="19"/>
  <c r="L44" i="19"/>
  <c r="F44" i="19"/>
  <c r="E26" i="19"/>
  <c r="E45" i="19"/>
  <c r="K67" i="19"/>
  <c r="F16" i="19"/>
  <c r="G44" i="19"/>
  <c r="F45" i="19"/>
  <c r="J16" i="19"/>
  <c r="E44" i="19"/>
  <c r="I45" i="19"/>
  <c r="J49" i="19"/>
  <c r="H16" i="19"/>
  <c r="F26" i="19"/>
  <c r="M34" i="19"/>
  <c r="K49" i="19"/>
  <c r="I16" i="19"/>
  <c r="H26" i="19"/>
  <c r="M50" i="19"/>
  <c r="M30" i="19"/>
  <c r="M74" i="19"/>
  <c r="F53" i="19"/>
  <c r="M72" i="19"/>
  <c r="K16" i="19"/>
  <c r="M24" i="19"/>
  <c r="E27" i="19"/>
  <c r="M32" i="19"/>
  <c r="M42" i="19"/>
  <c r="K44" i="19"/>
  <c r="I75" i="19"/>
  <c r="M15" i="19"/>
  <c r="J27" i="19"/>
  <c r="I35" i="19"/>
  <c r="M48" i="19"/>
  <c r="M51" i="19"/>
  <c r="M73" i="19"/>
  <c r="G67" i="19"/>
  <c r="M7" i="19"/>
  <c r="M11" i="19"/>
  <c r="M25" i="19"/>
  <c r="K27" i="19"/>
  <c r="M33" i="19"/>
  <c r="J35" i="19"/>
  <c r="L45" i="19"/>
  <c r="M52" i="19"/>
  <c r="L76" i="19"/>
  <c r="M70" i="19"/>
  <c r="M28" i="19"/>
  <c r="G53" i="19"/>
  <c r="I67" i="19"/>
  <c r="C69" i="19"/>
  <c r="J75" i="19"/>
  <c r="J76" i="19" s="1"/>
  <c r="M43" i="19"/>
  <c r="J44" i="19"/>
  <c r="M6" i="19"/>
  <c r="D16" i="19"/>
  <c r="L16" i="19"/>
  <c r="G26" i="19"/>
  <c r="D27" i="19"/>
  <c r="L27" i="19"/>
  <c r="E29" i="19"/>
  <c r="G31" i="19"/>
  <c r="K35" i="19"/>
  <c r="D46" i="19"/>
  <c r="D49" i="19"/>
  <c r="L49" i="19"/>
  <c r="H53" i="19"/>
  <c r="M66" i="19"/>
  <c r="G71" i="19"/>
  <c r="K75" i="19"/>
  <c r="H67" i="19"/>
  <c r="C67" i="19"/>
  <c r="G68" i="19"/>
  <c r="E69" i="19"/>
  <c r="E76" i="19" s="1"/>
  <c r="H71" i="19"/>
  <c r="C16" i="19"/>
  <c r="I26" i="19"/>
  <c r="F27" i="19"/>
  <c r="I31" i="19"/>
  <c r="C47" i="19"/>
  <c r="M47" i="19" s="1"/>
  <c r="I71" i="19"/>
  <c r="G27" i="19"/>
  <c r="J31" i="19"/>
  <c r="F35" i="19"/>
  <c r="G46" i="19"/>
  <c r="G49" i="19"/>
  <c r="I57" i="19"/>
  <c r="M8" i="19"/>
  <c r="N8" i="19" s="1"/>
  <c r="K26" i="19"/>
  <c r="K31" i="19"/>
  <c r="G35" i="19"/>
  <c r="H49" i="19"/>
  <c r="D31" i="19"/>
  <c r="L31" i="19"/>
  <c r="H35" i="19"/>
  <c r="H76" i="19" l="1"/>
  <c r="I54" i="19"/>
  <c r="M68" i="19"/>
  <c r="H93" i="19"/>
  <c r="M29" i="19"/>
  <c r="N30" i="19" s="1"/>
  <c r="E90" i="19"/>
  <c r="H92" i="19"/>
  <c r="H94" i="19" s="1"/>
  <c r="H88" i="19"/>
  <c r="H90" i="19" s="1"/>
  <c r="H54" i="19"/>
  <c r="H85" i="19"/>
  <c r="K76" i="19"/>
  <c r="M67" i="19"/>
  <c r="N67" i="19" s="1"/>
  <c r="J54" i="19"/>
  <c r="K54" i="19"/>
  <c r="M45" i="19"/>
  <c r="E54" i="19"/>
  <c r="H36" i="19"/>
  <c r="D54" i="19"/>
  <c r="M49" i="19"/>
  <c r="F54" i="19"/>
  <c r="G54" i="19"/>
  <c r="M71" i="19"/>
  <c r="E36" i="19"/>
  <c r="F36" i="19"/>
  <c r="M26" i="19"/>
  <c r="M35" i="19"/>
  <c r="M27" i="19"/>
  <c r="L54" i="19"/>
  <c r="L36" i="19"/>
  <c r="J36" i="19"/>
  <c r="I76" i="19"/>
  <c r="M53" i="19"/>
  <c r="C54" i="19"/>
  <c r="M44" i="19"/>
  <c r="N7" i="19"/>
  <c r="M16" i="19"/>
  <c r="C76" i="19"/>
  <c r="M46" i="19"/>
  <c r="I36" i="19"/>
  <c r="G76" i="19"/>
  <c r="M75" i="19"/>
  <c r="M31" i="19"/>
  <c r="M69" i="19"/>
  <c r="D36" i="19"/>
  <c r="K36" i="19"/>
  <c r="G36" i="19"/>
  <c r="N44" i="19" l="1"/>
  <c r="M36" i="19"/>
  <c r="N27" i="19"/>
  <c r="N36" i="19"/>
  <c r="M76" i="19"/>
  <c r="G56" i="19"/>
  <c r="G58" i="19" s="1"/>
  <c r="M54" i="19"/>
  <c r="M58" i="19" l="1"/>
  <c r="L56" i="19"/>
  <c r="H6" i="1"/>
  <c r="F6" i="1"/>
  <c r="C6" i="1"/>
  <c r="N58" i="8" l="1"/>
  <c r="M58" i="8"/>
  <c r="L58" i="8"/>
  <c r="K58" i="8"/>
  <c r="J58" i="8"/>
  <c r="G58" i="8"/>
  <c r="F58" i="8"/>
  <c r="E58" i="8"/>
  <c r="D58" i="8"/>
  <c r="C58" i="8"/>
  <c r="N56" i="8"/>
  <c r="M56" i="8"/>
  <c r="L56" i="8"/>
  <c r="K56" i="8"/>
  <c r="J56" i="8"/>
  <c r="G56" i="8"/>
  <c r="F56" i="8"/>
  <c r="E56" i="8"/>
  <c r="D56" i="8"/>
  <c r="C56" i="8"/>
  <c r="N55" i="8"/>
  <c r="M55" i="8"/>
  <c r="L55" i="8"/>
  <c r="K55" i="8"/>
  <c r="J55" i="8"/>
  <c r="G55" i="8"/>
  <c r="F55" i="8"/>
  <c r="E55" i="8"/>
  <c r="D55" i="8"/>
  <c r="C55" i="8"/>
  <c r="N53" i="8"/>
  <c r="M53" i="8"/>
  <c r="L53" i="8"/>
  <c r="K53" i="8"/>
  <c r="J53" i="8"/>
  <c r="G53" i="8"/>
  <c r="F53" i="8"/>
  <c r="E53" i="8"/>
  <c r="D53" i="8"/>
  <c r="C53" i="8"/>
  <c r="N50" i="8"/>
  <c r="M50" i="8"/>
  <c r="L50" i="8"/>
  <c r="K50" i="8"/>
  <c r="J50" i="8"/>
  <c r="G50" i="8"/>
  <c r="F50" i="8"/>
  <c r="E50" i="8"/>
  <c r="D50" i="8"/>
  <c r="C50" i="8"/>
  <c r="N49" i="8"/>
  <c r="M49" i="8"/>
  <c r="L49" i="8"/>
  <c r="K49" i="8"/>
  <c r="J49" i="8"/>
  <c r="G49" i="8"/>
  <c r="F49" i="8"/>
  <c r="E49" i="8"/>
  <c r="D49" i="8"/>
  <c r="C49" i="8"/>
  <c r="N39" i="8"/>
  <c r="M39" i="8"/>
  <c r="L39" i="8"/>
  <c r="K39" i="8"/>
  <c r="J39" i="8"/>
  <c r="G39" i="8"/>
  <c r="F39" i="8"/>
  <c r="E39" i="8"/>
  <c r="D39" i="8"/>
  <c r="C39" i="8"/>
  <c r="O16" i="18"/>
  <c r="C16" i="18"/>
  <c r="O15" i="18"/>
  <c r="C15" i="18"/>
  <c r="O14" i="18"/>
  <c r="C14" i="18"/>
  <c r="O13" i="18"/>
  <c r="C13" i="18"/>
  <c r="O12" i="18"/>
  <c r="C12" i="18"/>
  <c r="N11" i="18"/>
  <c r="N17" i="18" s="1"/>
  <c r="M11" i="18"/>
  <c r="M17" i="18" s="1"/>
  <c r="L11" i="18"/>
  <c r="L17" i="18" s="1"/>
  <c r="K11" i="18"/>
  <c r="K17" i="18" s="1"/>
  <c r="J11" i="18"/>
  <c r="J17" i="18" s="1"/>
  <c r="I11" i="18"/>
  <c r="I17" i="18" s="1"/>
  <c r="H11" i="18"/>
  <c r="H17" i="18" s="1"/>
  <c r="G11" i="18"/>
  <c r="G17" i="18" s="1"/>
  <c r="F11" i="18"/>
  <c r="F17" i="18" s="1"/>
  <c r="E11" i="18"/>
  <c r="E17" i="18" s="1"/>
  <c r="D11" i="18"/>
  <c r="D17" i="18" s="1"/>
  <c r="B11" i="18"/>
  <c r="B17" i="18" s="1"/>
  <c r="O10" i="18"/>
  <c r="O9" i="18"/>
  <c r="O11" i="18" s="1"/>
  <c r="O17" i="18" s="1"/>
  <c r="C9" i="18"/>
  <c r="O8" i="18"/>
  <c r="O7" i="18"/>
  <c r="O6" i="18"/>
  <c r="C4" i="18"/>
  <c r="C8" i="18" s="1"/>
  <c r="C3" i="18"/>
  <c r="D1" i="18"/>
  <c r="J19" i="18" l="1"/>
  <c r="E19" i="18"/>
  <c r="G19" i="18"/>
  <c r="C6" i="18"/>
  <c r="C7" i="18"/>
  <c r="C10" i="18"/>
  <c r="C11" i="18" l="1"/>
  <c r="C17" i="18" s="1"/>
  <c r="O21" i="18"/>
  <c r="C22" i="18" l="1"/>
  <c r="O22" i="18"/>
  <c r="O19" i="18"/>
  <c r="N44" i="8" l="1"/>
  <c r="M44" i="8"/>
  <c r="L44" i="8"/>
  <c r="K44" i="8"/>
  <c r="J44" i="8"/>
  <c r="G44" i="8"/>
  <c r="F44" i="8"/>
  <c r="E44" i="8"/>
  <c r="D44" i="8"/>
  <c r="C44" i="8"/>
  <c r="N42" i="8"/>
  <c r="M42" i="8"/>
  <c r="L42" i="8"/>
  <c r="K42" i="8"/>
  <c r="J42" i="8"/>
  <c r="G42" i="8"/>
  <c r="F42" i="8"/>
  <c r="E42" i="8"/>
  <c r="D42" i="8"/>
  <c r="C42" i="8"/>
  <c r="N41" i="8"/>
  <c r="M41" i="8"/>
  <c r="L41" i="8"/>
  <c r="K41" i="8"/>
  <c r="J41" i="8"/>
  <c r="G41" i="8"/>
  <c r="F41" i="8"/>
  <c r="E41" i="8"/>
  <c r="D41" i="8"/>
  <c r="C41" i="8"/>
  <c r="N36" i="8"/>
  <c r="M36" i="8"/>
  <c r="L36" i="8"/>
  <c r="K36" i="8"/>
  <c r="J36" i="8"/>
  <c r="G36" i="8"/>
  <c r="F36" i="8"/>
  <c r="E36" i="8"/>
  <c r="D36" i="8"/>
  <c r="C36" i="8"/>
  <c r="N35" i="8"/>
  <c r="M35" i="8"/>
  <c r="L35" i="8"/>
  <c r="K35" i="8"/>
  <c r="J35" i="8"/>
  <c r="G35" i="8"/>
  <c r="F35" i="8"/>
  <c r="E35" i="8"/>
  <c r="D35" i="8"/>
  <c r="C35" i="8"/>
  <c r="O19" i="6"/>
  <c r="J19" i="6"/>
  <c r="G19" i="6"/>
  <c r="E19" i="6"/>
  <c r="O16" i="17" l="1"/>
  <c r="C16" i="17"/>
  <c r="O15" i="17"/>
  <c r="C15" i="17"/>
  <c r="O14" i="17"/>
  <c r="C14" i="17"/>
  <c r="O13" i="17"/>
  <c r="C13" i="17"/>
  <c r="O12" i="17"/>
  <c r="C12" i="17"/>
  <c r="N11" i="17"/>
  <c r="N17" i="17" s="1"/>
  <c r="M11" i="17"/>
  <c r="M17" i="17" s="1"/>
  <c r="L11" i="17"/>
  <c r="L17" i="17" s="1"/>
  <c r="K11" i="17"/>
  <c r="K17" i="17" s="1"/>
  <c r="J11" i="17"/>
  <c r="J17" i="17" s="1"/>
  <c r="I11" i="17"/>
  <c r="I17" i="17" s="1"/>
  <c r="H11" i="17"/>
  <c r="H17" i="17" s="1"/>
  <c r="G11" i="17"/>
  <c r="G17" i="17" s="1"/>
  <c r="F11" i="17"/>
  <c r="F17" i="17" s="1"/>
  <c r="E11" i="17"/>
  <c r="E17" i="17" s="1"/>
  <c r="D11" i="17"/>
  <c r="D17" i="17" s="1"/>
  <c r="B11" i="17"/>
  <c r="B17" i="17" s="1"/>
  <c r="O10" i="17"/>
  <c r="O9" i="17"/>
  <c r="O11" i="17" s="1"/>
  <c r="O17" i="17" s="1"/>
  <c r="O8" i="17"/>
  <c r="O7" i="17"/>
  <c r="O6" i="17"/>
  <c r="C4" i="17"/>
  <c r="C9" i="17" s="1"/>
  <c r="C3" i="17"/>
  <c r="D1" i="17"/>
  <c r="J19" i="17" l="1"/>
  <c r="E19" i="17"/>
  <c r="G19" i="17"/>
  <c r="C7" i="17"/>
  <c r="C6" i="17"/>
  <c r="C10" i="17"/>
  <c r="C8" i="17"/>
  <c r="C11" i="17" l="1"/>
  <c r="C17" i="17" s="1"/>
  <c r="O21" i="17"/>
  <c r="C22" i="17" l="1"/>
  <c r="O22" i="17"/>
  <c r="O19" i="17"/>
  <c r="O16" i="16" l="1"/>
  <c r="C16" i="16"/>
  <c r="O15" i="16"/>
  <c r="C15" i="16"/>
  <c r="O14" i="16"/>
  <c r="C14" i="16"/>
  <c r="O13" i="16"/>
  <c r="C13" i="16"/>
  <c r="O12" i="16"/>
  <c r="C12" i="16"/>
  <c r="N11" i="16"/>
  <c r="N17" i="16" s="1"/>
  <c r="M11" i="16"/>
  <c r="M17" i="16" s="1"/>
  <c r="L11" i="16"/>
  <c r="L17" i="16" s="1"/>
  <c r="K11" i="16"/>
  <c r="K17" i="16" s="1"/>
  <c r="J11" i="16"/>
  <c r="J17" i="16" s="1"/>
  <c r="I11" i="16"/>
  <c r="I17" i="16" s="1"/>
  <c r="H11" i="16"/>
  <c r="H17" i="16" s="1"/>
  <c r="G11" i="16"/>
  <c r="G17" i="16" s="1"/>
  <c r="F11" i="16"/>
  <c r="F17" i="16" s="1"/>
  <c r="E11" i="16"/>
  <c r="E17" i="16" s="1"/>
  <c r="D11" i="16"/>
  <c r="D17" i="16" s="1"/>
  <c r="B11" i="16"/>
  <c r="B17" i="16" s="1"/>
  <c r="O10" i="16"/>
  <c r="O9" i="16"/>
  <c r="O11" i="16" s="1"/>
  <c r="O17" i="16" s="1"/>
  <c r="O8" i="16"/>
  <c r="O7" i="16"/>
  <c r="O6" i="16"/>
  <c r="C4" i="16"/>
  <c r="C9" i="16" s="1"/>
  <c r="C3" i="16"/>
  <c r="D1" i="16"/>
  <c r="E19" i="16" l="1"/>
  <c r="J19" i="16"/>
  <c r="G19" i="16"/>
  <c r="C10" i="16"/>
  <c r="C7" i="16"/>
  <c r="C6" i="16"/>
  <c r="C8" i="16"/>
  <c r="C11" i="16" l="1"/>
  <c r="C17" i="16" s="1"/>
  <c r="O21" i="16"/>
  <c r="C22" i="16" l="1"/>
  <c r="O22" i="16"/>
  <c r="O19" i="16"/>
  <c r="D17" i="15" l="1"/>
  <c r="O16" i="15"/>
  <c r="C16" i="15"/>
  <c r="O15" i="15"/>
  <c r="C15" i="15"/>
  <c r="O14" i="15"/>
  <c r="C14" i="15"/>
  <c r="O13" i="15"/>
  <c r="C13" i="15"/>
  <c r="O12" i="15"/>
  <c r="C12" i="15"/>
  <c r="N11" i="15"/>
  <c r="N17" i="15" s="1"/>
  <c r="M11" i="15"/>
  <c r="M17" i="15" s="1"/>
  <c r="L11" i="15"/>
  <c r="L17" i="15" s="1"/>
  <c r="K11" i="15"/>
  <c r="K17" i="15" s="1"/>
  <c r="J11" i="15"/>
  <c r="J17" i="15" s="1"/>
  <c r="J19" i="15" s="1"/>
  <c r="I11" i="15"/>
  <c r="I17" i="15" s="1"/>
  <c r="H11" i="15"/>
  <c r="H17" i="15" s="1"/>
  <c r="G11" i="15"/>
  <c r="G17" i="15" s="1"/>
  <c r="F11" i="15"/>
  <c r="F17" i="15" s="1"/>
  <c r="E19" i="15" s="1"/>
  <c r="E11" i="15"/>
  <c r="E17" i="15" s="1"/>
  <c r="D11" i="15"/>
  <c r="B11" i="15"/>
  <c r="B17" i="15" s="1"/>
  <c r="O10" i="15"/>
  <c r="O9" i="15"/>
  <c r="O11" i="15" s="1"/>
  <c r="O17" i="15" s="1"/>
  <c r="O8" i="15"/>
  <c r="O7" i="15"/>
  <c r="O6" i="15"/>
  <c r="C4" i="15"/>
  <c r="C9" i="15" s="1"/>
  <c r="C3" i="15"/>
  <c r="D1" i="15"/>
  <c r="G19" i="15" l="1"/>
  <c r="O21" i="15" s="1"/>
  <c r="C6" i="15"/>
  <c r="C11" i="15" s="1"/>
  <c r="C17" i="15" s="1"/>
  <c r="C22" i="15" s="1"/>
  <c r="C7" i="15"/>
  <c r="C10" i="15"/>
  <c r="C8" i="15"/>
  <c r="O19" i="15" l="1"/>
  <c r="O22" i="15"/>
  <c r="F17" i="14" l="1"/>
  <c r="O16" i="14"/>
  <c r="C16" i="14"/>
  <c r="O15" i="14"/>
  <c r="C15" i="14"/>
  <c r="O14" i="14"/>
  <c r="C14" i="14"/>
  <c r="O13" i="14"/>
  <c r="C13" i="14"/>
  <c r="O12" i="14"/>
  <c r="C12" i="14"/>
  <c r="N11" i="14"/>
  <c r="N17" i="14" s="1"/>
  <c r="M11" i="14"/>
  <c r="M17" i="14" s="1"/>
  <c r="L11" i="14"/>
  <c r="L17" i="14" s="1"/>
  <c r="K11" i="14"/>
  <c r="K17" i="14" s="1"/>
  <c r="J11" i="14"/>
  <c r="J17" i="14" s="1"/>
  <c r="J19" i="14" s="1"/>
  <c r="I11" i="14"/>
  <c r="I17" i="14" s="1"/>
  <c r="H11" i="14"/>
  <c r="H17" i="14" s="1"/>
  <c r="G19" i="14" s="1"/>
  <c r="G11" i="14"/>
  <c r="G17" i="14" s="1"/>
  <c r="F11" i="14"/>
  <c r="E11" i="14"/>
  <c r="E17" i="14" s="1"/>
  <c r="D11" i="14"/>
  <c r="D17" i="14" s="1"/>
  <c r="B11" i="14"/>
  <c r="B17" i="14" s="1"/>
  <c r="O10" i="14"/>
  <c r="O9" i="14"/>
  <c r="O11" i="14" s="1"/>
  <c r="O17" i="14" s="1"/>
  <c r="C9" i="14"/>
  <c r="O8" i="14"/>
  <c r="O7" i="14"/>
  <c r="O6" i="14"/>
  <c r="C4" i="14"/>
  <c r="C8" i="14" s="1"/>
  <c r="C3" i="14"/>
  <c r="D1" i="14"/>
  <c r="E19" i="14" l="1"/>
  <c r="O21" i="14" s="1"/>
  <c r="C10" i="14"/>
  <c r="C7" i="14"/>
  <c r="C6" i="14"/>
  <c r="C11" i="14" s="1"/>
  <c r="C17" i="14" s="1"/>
  <c r="C22" i="14" s="1"/>
  <c r="O19" i="14" l="1"/>
  <c r="O22" i="14"/>
  <c r="I60" i="8" l="1"/>
  <c r="I46" i="8"/>
  <c r="O16" i="13"/>
  <c r="C16" i="13"/>
  <c r="O15" i="13"/>
  <c r="C15" i="13"/>
  <c r="O14" i="13"/>
  <c r="C14" i="13"/>
  <c r="O13" i="13"/>
  <c r="C13" i="13"/>
  <c r="O12" i="13"/>
  <c r="C12" i="13"/>
  <c r="N11" i="13"/>
  <c r="N17" i="13" s="1"/>
  <c r="M11" i="13"/>
  <c r="M17" i="13" s="1"/>
  <c r="L11" i="13"/>
  <c r="L17" i="13" s="1"/>
  <c r="K11" i="13"/>
  <c r="K17" i="13" s="1"/>
  <c r="J11" i="13"/>
  <c r="J17" i="13" s="1"/>
  <c r="I11" i="13"/>
  <c r="I17" i="13" s="1"/>
  <c r="H11" i="13"/>
  <c r="H17" i="13" s="1"/>
  <c r="G11" i="13"/>
  <c r="G17" i="13" s="1"/>
  <c r="E11" i="13"/>
  <c r="E17" i="13" s="1"/>
  <c r="D11" i="13"/>
  <c r="D17" i="13" s="1"/>
  <c r="B11" i="13"/>
  <c r="B17" i="13" s="1"/>
  <c r="O10" i="13"/>
  <c r="C10" i="13"/>
  <c r="O9" i="13"/>
  <c r="O8" i="13"/>
  <c r="F7" i="13"/>
  <c r="F11" i="13" s="1"/>
  <c r="F17" i="13" s="1"/>
  <c r="C7" i="13"/>
  <c r="O6" i="13"/>
  <c r="C6" i="13"/>
  <c r="C4" i="13"/>
  <c r="C9" i="13" s="1"/>
  <c r="C3" i="13"/>
  <c r="D1" i="13"/>
  <c r="N57" i="8"/>
  <c r="M57" i="8"/>
  <c r="L57" i="8"/>
  <c r="K57" i="8"/>
  <c r="J57" i="8"/>
  <c r="G57" i="8"/>
  <c r="F57" i="8"/>
  <c r="E57" i="8"/>
  <c r="D57" i="8"/>
  <c r="C57" i="8"/>
  <c r="N43" i="8"/>
  <c r="M43" i="8"/>
  <c r="L43" i="8"/>
  <c r="K43" i="8"/>
  <c r="J43" i="8"/>
  <c r="G43" i="8"/>
  <c r="F43" i="8"/>
  <c r="E43" i="8"/>
  <c r="D43" i="8"/>
  <c r="C43" i="8"/>
  <c r="O16" i="12"/>
  <c r="C16" i="12"/>
  <c r="O15" i="12"/>
  <c r="C15" i="12"/>
  <c r="O14" i="12"/>
  <c r="C14" i="12"/>
  <c r="O13" i="12"/>
  <c r="C13" i="12"/>
  <c r="O12" i="12"/>
  <c r="C12" i="12"/>
  <c r="N11" i="12"/>
  <c r="N17" i="12" s="1"/>
  <c r="M11" i="12"/>
  <c r="M17" i="12" s="1"/>
  <c r="L11" i="12"/>
  <c r="L17" i="12" s="1"/>
  <c r="K11" i="12"/>
  <c r="K17" i="12" s="1"/>
  <c r="J11" i="12"/>
  <c r="J17" i="12" s="1"/>
  <c r="I11" i="12"/>
  <c r="I17" i="12" s="1"/>
  <c r="H11" i="12"/>
  <c r="H17" i="12" s="1"/>
  <c r="G11" i="12"/>
  <c r="G17" i="12" s="1"/>
  <c r="F11" i="12"/>
  <c r="F17" i="12" s="1"/>
  <c r="E11" i="12"/>
  <c r="E17" i="12" s="1"/>
  <c r="D11" i="12"/>
  <c r="D17" i="12" s="1"/>
  <c r="B11" i="12"/>
  <c r="B17" i="12" s="1"/>
  <c r="O10" i="12"/>
  <c r="O9" i="12"/>
  <c r="O11" i="12" s="1"/>
  <c r="O17" i="12" s="1"/>
  <c r="O8" i="12"/>
  <c r="O7" i="12"/>
  <c r="O6" i="12"/>
  <c r="C4" i="12"/>
  <c r="C9" i="12" s="1"/>
  <c r="C3" i="12"/>
  <c r="D1" i="12"/>
  <c r="O7" i="13" l="1"/>
  <c r="O11" i="13" s="1"/>
  <c r="O17" i="13" s="1"/>
  <c r="C8" i="13"/>
  <c r="C11" i="13" s="1"/>
  <c r="C17" i="13" s="1"/>
  <c r="C22" i="13" s="1"/>
  <c r="J19" i="12"/>
  <c r="E19" i="12"/>
  <c r="O21" i="12" s="1"/>
  <c r="G19" i="12"/>
  <c r="C6" i="12"/>
  <c r="C10" i="12"/>
  <c r="C7" i="12"/>
  <c r="C8" i="12"/>
  <c r="Q60" i="8"/>
  <c r="Q46" i="8"/>
  <c r="F45" i="8"/>
  <c r="G45" i="8"/>
  <c r="E45" i="8"/>
  <c r="K45" i="8"/>
  <c r="J45" i="8"/>
  <c r="M45" i="8"/>
  <c r="N45" i="8"/>
  <c r="L45" i="8"/>
  <c r="N59" i="8"/>
  <c r="M59" i="8"/>
  <c r="L59" i="8"/>
  <c r="K59" i="8"/>
  <c r="J59" i="8"/>
  <c r="G59" i="8"/>
  <c r="F59" i="8"/>
  <c r="E59" i="8"/>
  <c r="D59" i="8"/>
  <c r="C59" i="8"/>
  <c r="N54" i="8"/>
  <c r="M54" i="8"/>
  <c r="L54" i="8"/>
  <c r="K54" i="8"/>
  <c r="J54" i="8"/>
  <c r="G54" i="8"/>
  <c r="F54" i="8"/>
  <c r="E54" i="8"/>
  <c r="D54" i="8"/>
  <c r="C54" i="8"/>
  <c r="N52" i="8"/>
  <c r="M52" i="8"/>
  <c r="L52" i="8"/>
  <c r="K52" i="8"/>
  <c r="J52" i="8"/>
  <c r="G52" i="8"/>
  <c r="F52" i="8"/>
  <c r="E52" i="8"/>
  <c r="D52" i="8"/>
  <c r="C52" i="8"/>
  <c r="J37" i="8"/>
  <c r="J51" i="8"/>
  <c r="N51" i="8"/>
  <c r="M51" i="8"/>
  <c r="L51" i="8"/>
  <c r="K51" i="8"/>
  <c r="G51" i="8"/>
  <c r="F51" i="8"/>
  <c r="E51" i="8"/>
  <c r="D51" i="8"/>
  <c r="C51" i="8"/>
  <c r="C60" i="8" l="1"/>
  <c r="C61" i="8" s="1"/>
  <c r="O22" i="13"/>
  <c r="O19" i="13"/>
  <c r="G19" i="13"/>
  <c r="E19" i="13"/>
  <c r="J19" i="13"/>
  <c r="C11" i="12"/>
  <c r="C17" i="12" s="1"/>
  <c r="O45" i="8"/>
  <c r="D45" i="8"/>
  <c r="C45" i="8"/>
  <c r="N40" i="8"/>
  <c r="M40" i="8"/>
  <c r="L40" i="8"/>
  <c r="K40" i="8"/>
  <c r="J40" i="8"/>
  <c r="G40" i="8"/>
  <c r="F40" i="8"/>
  <c r="E40" i="8"/>
  <c r="D40" i="8"/>
  <c r="C40" i="8"/>
  <c r="N38" i="8"/>
  <c r="M38" i="8"/>
  <c r="L38" i="8"/>
  <c r="K38" i="8"/>
  <c r="J38" i="8"/>
  <c r="G38" i="8"/>
  <c r="F38" i="8"/>
  <c r="E38" i="8"/>
  <c r="D38" i="8"/>
  <c r="C38" i="8"/>
  <c r="N37" i="8"/>
  <c r="M37" i="8"/>
  <c r="L37" i="8"/>
  <c r="K37" i="8"/>
  <c r="G37" i="8"/>
  <c r="F37" i="8"/>
  <c r="E37" i="8"/>
  <c r="D37" i="8"/>
  <c r="C37" i="8"/>
  <c r="O59" i="8"/>
  <c r="H59" i="8"/>
  <c r="P59" i="8" s="1"/>
  <c r="O58" i="8"/>
  <c r="H58" i="8"/>
  <c r="P58" i="8" s="1"/>
  <c r="O57" i="8"/>
  <c r="H57" i="8"/>
  <c r="P57" i="8" s="1"/>
  <c r="O56" i="8"/>
  <c r="H56" i="8"/>
  <c r="P56" i="8" s="1"/>
  <c r="O55" i="8"/>
  <c r="H55" i="8"/>
  <c r="P55" i="8" s="1"/>
  <c r="N60" i="8"/>
  <c r="N61" i="8" s="1"/>
  <c r="N62" i="8" s="1"/>
  <c r="M60" i="8"/>
  <c r="M61" i="8" s="1"/>
  <c r="M62" i="8" s="1"/>
  <c r="L60" i="8"/>
  <c r="L61" i="8" s="1"/>
  <c r="L62" i="8" s="1"/>
  <c r="K60" i="8"/>
  <c r="K61" i="8" s="1"/>
  <c r="K62" i="8" s="1"/>
  <c r="O54" i="8"/>
  <c r="G60" i="8"/>
  <c r="F60" i="8"/>
  <c r="E60" i="8"/>
  <c r="D60" i="8"/>
  <c r="O53" i="8"/>
  <c r="H53" i="8"/>
  <c r="P53" i="8" s="1"/>
  <c r="O52" i="8"/>
  <c r="H52" i="8"/>
  <c r="P52" i="8" s="1"/>
  <c r="O51" i="8"/>
  <c r="H51" i="8"/>
  <c r="P51" i="8" s="1"/>
  <c r="O50" i="8"/>
  <c r="H50" i="8"/>
  <c r="P50" i="8" s="1"/>
  <c r="O49" i="8"/>
  <c r="H49" i="8"/>
  <c r="P49" i="8" s="1"/>
  <c r="O44" i="8"/>
  <c r="H44" i="8"/>
  <c r="O43" i="8"/>
  <c r="H43" i="8"/>
  <c r="O42" i="8"/>
  <c r="H42" i="8"/>
  <c r="O41" i="8"/>
  <c r="H41" i="8"/>
  <c r="O39" i="8"/>
  <c r="H39" i="8"/>
  <c r="O36" i="8"/>
  <c r="H36" i="8"/>
  <c r="O35" i="8"/>
  <c r="H35" i="8"/>
  <c r="J28" i="8"/>
  <c r="I28" i="8"/>
  <c r="D28" i="8"/>
  <c r="C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M11" i="8"/>
  <c r="L11" i="8"/>
  <c r="K11" i="8"/>
  <c r="J11" i="8"/>
  <c r="I11" i="8"/>
  <c r="G11" i="8"/>
  <c r="F11" i="8"/>
  <c r="E11" i="8"/>
  <c r="D11" i="8"/>
  <c r="M10" i="8"/>
  <c r="L10" i="8"/>
  <c r="K10" i="8"/>
  <c r="J10" i="8"/>
  <c r="I10" i="8"/>
  <c r="G10" i="8"/>
  <c r="F10" i="8"/>
  <c r="E10" i="8"/>
  <c r="D10" i="8"/>
  <c r="C10" i="8"/>
  <c r="N9" i="8"/>
  <c r="H9" i="8"/>
  <c r="N8" i="8"/>
  <c r="H8" i="8"/>
  <c r="C97" i="19" l="1"/>
  <c r="H45" i="8"/>
  <c r="K25" i="8"/>
  <c r="K22" i="8"/>
  <c r="K18" i="8"/>
  <c r="K26" i="8"/>
  <c r="K19" i="8"/>
  <c r="K27" i="8"/>
  <c r="K23" i="8"/>
  <c r="K20" i="8"/>
  <c r="K17" i="8"/>
  <c r="K21" i="8"/>
  <c r="K24" i="8"/>
  <c r="E18" i="8"/>
  <c r="E26" i="8"/>
  <c r="E20" i="8"/>
  <c r="E19" i="8"/>
  <c r="E27" i="8"/>
  <c r="E17" i="8"/>
  <c r="E23" i="8"/>
  <c r="E21" i="8"/>
  <c r="E25" i="8"/>
  <c r="E22" i="8"/>
  <c r="E24" i="8"/>
  <c r="D61" i="8"/>
  <c r="D62" i="8" s="1"/>
  <c r="D97" i="19"/>
  <c r="F61" i="8"/>
  <c r="F62" i="8" s="1"/>
  <c r="F97" i="19"/>
  <c r="E61" i="8"/>
  <c r="E62" i="8" s="1"/>
  <c r="E97" i="19"/>
  <c r="G61" i="8"/>
  <c r="G62" i="8" s="1"/>
  <c r="G97" i="19"/>
  <c r="C98" i="19"/>
  <c r="C101" i="19"/>
  <c r="C102" i="19" s="1"/>
  <c r="C105" i="19"/>
  <c r="C106" i="19" s="1"/>
  <c r="P41" i="8"/>
  <c r="P35" i="8"/>
  <c r="O21" i="13"/>
  <c r="C22" i="12"/>
  <c r="O22" i="12"/>
  <c r="O19" i="12"/>
  <c r="L46" i="8"/>
  <c r="L47" i="8" s="1"/>
  <c r="L48" i="8" s="1"/>
  <c r="D46" i="8"/>
  <c r="D47" i="8" s="1"/>
  <c r="D48" i="8" s="1"/>
  <c r="O38" i="8"/>
  <c r="O40" i="8"/>
  <c r="N11" i="8"/>
  <c r="H38" i="8"/>
  <c r="P38" i="8" s="1"/>
  <c r="P36" i="8"/>
  <c r="K46" i="8"/>
  <c r="K47" i="8" s="1"/>
  <c r="K48" i="8" s="1"/>
  <c r="G46" i="8"/>
  <c r="G47" i="8" s="1"/>
  <c r="G48" i="8" s="1"/>
  <c r="O8" i="8"/>
  <c r="P39" i="8"/>
  <c r="P44" i="8"/>
  <c r="H10" i="8"/>
  <c r="M46" i="8"/>
  <c r="M47" i="8" s="1"/>
  <c r="M48" i="8" s="1"/>
  <c r="H11" i="8"/>
  <c r="P42" i="8"/>
  <c r="O9" i="8"/>
  <c r="F28" i="8"/>
  <c r="N10" i="8"/>
  <c r="G28" i="8"/>
  <c r="H25" i="8" s="1"/>
  <c r="P43" i="8"/>
  <c r="P45" i="8"/>
  <c r="E46" i="8"/>
  <c r="E47" i="8" s="1"/>
  <c r="E48" i="8" s="1"/>
  <c r="H40" i="8"/>
  <c r="J46" i="8"/>
  <c r="N46" i="8"/>
  <c r="N47" i="8" s="1"/>
  <c r="N48" i="8" s="1"/>
  <c r="H37" i="8"/>
  <c r="F46" i="8"/>
  <c r="F47" i="8" s="1"/>
  <c r="F48" i="8" s="1"/>
  <c r="H60" i="8"/>
  <c r="C46" i="8"/>
  <c r="O37" i="8"/>
  <c r="H54" i="8"/>
  <c r="P54" i="8" s="1"/>
  <c r="J60" i="8"/>
  <c r="H17" i="8" l="1"/>
  <c r="H26" i="8"/>
  <c r="H24" i="8"/>
  <c r="H22" i="8"/>
  <c r="H20" i="8"/>
  <c r="H18" i="8"/>
  <c r="E28" i="8"/>
  <c r="H21" i="8"/>
  <c r="H23" i="8"/>
  <c r="H27" i="8"/>
  <c r="K28" i="8"/>
  <c r="H19" i="8"/>
  <c r="H97" i="19"/>
  <c r="H105" i="19" s="1"/>
  <c r="G101" i="19"/>
  <c r="G98" i="19"/>
  <c r="G99" i="19" s="1"/>
  <c r="E98" i="19"/>
  <c r="E99" i="19" s="1"/>
  <c r="E101" i="19"/>
  <c r="F98" i="19"/>
  <c r="F99" i="19" s="1"/>
  <c r="F101" i="19"/>
  <c r="C107" i="19"/>
  <c r="C103" i="19"/>
  <c r="D105" i="19"/>
  <c r="D106" i="19" s="1"/>
  <c r="D107" i="19" s="1"/>
  <c r="D98" i="19"/>
  <c r="D99" i="19" s="1"/>
  <c r="D101" i="19"/>
  <c r="D102" i="19" s="1"/>
  <c r="D103" i="19" s="1"/>
  <c r="C99" i="19"/>
  <c r="O11" i="8"/>
  <c r="O46" i="8"/>
  <c r="P40" i="8"/>
  <c r="O10" i="8"/>
  <c r="J47" i="8"/>
  <c r="J48" i="8" s="1"/>
  <c r="O48" i="8" s="1"/>
  <c r="P60" i="8"/>
  <c r="P37" i="8"/>
  <c r="J61" i="8"/>
  <c r="O60" i="8"/>
  <c r="C62" i="8"/>
  <c r="H61" i="8"/>
  <c r="H62" i="8" s="1"/>
  <c r="C47" i="8"/>
  <c r="H46" i="8"/>
  <c r="H28" i="8" l="1"/>
  <c r="H101" i="19"/>
  <c r="F105" i="19"/>
  <c r="F106" i="19" s="1"/>
  <c r="F107" i="19" s="1"/>
  <c r="F102" i="19"/>
  <c r="F103" i="19" s="1"/>
  <c r="G102" i="19"/>
  <c r="G103" i="19" s="1"/>
  <c r="G105" i="19"/>
  <c r="G106" i="19" s="1"/>
  <c r="G107" i="19" s="1"/>
  <c r="E105" i="19"/>
  <c r="E106" i="19" s="1"/>
  <c r="E107" i="19" s="1"/>
  <c r="E102" i="19"/>
  <c r="E103" i="19" s="1"/>
  <c r="H98" i="19"/>
  <c r="H99" i="19" s="1"/>
  <c r="P46" i="8"/>
  <c r="O47" i="8"/>
  <c r="C48" i="8"/>
  <c r="H47" i="8"/>
  <c r="P47" i="8" s="1"/>
  <c r="P61" i="8"/>
  <c r="O61" i="8"/>
  <c r="J62" i="8"/>
  <c r="O62" i="8" s="1"/>
  <c r="H106" i="19" l="1"/>
  <c r="H107" i="19" s="1"/>
  <c r="H102" i="19"/>
  <c r="H103" i="19" s="1"/>
  <c r="O16" i="11"/>
  <c r="O15" i="11"/>
  <c r="O14" i="11"/>
  <c r="O13" i="11"/>
  <c r="O12" i="11"/>
  <c r="N11" i="11"/>
  <c r="N17" i="11" s="1"/>
  <c r="M11" i="11"/>
  <c r="M17" i="11" s="1"/>
  <c r="L11" i="11"/>
  <c r="L17" i="11" s="1"/>
  <c r="K11" i="11"/>
  <c r="K17" i="11" s="1"/>
  <c r="I11" i="11"/>
  <c r="I17" i="11" s="1"/>
  <c r="H11" i="11"/>
  <c r="H17" i="11" s="1"/>
  <c r="G11" i="11"/>
  <c r="G17" i="11" s="1"/>
  <c r="F11" i="11"/>
  <c r="F17" i="11" s="1"/>
  <c r="E19" i="11" s="1"/>
  <c r="E11" i="11"/>
  <c r="E17" i="11" s="1"/>
  <c r="D11" i="11"/>
  <c r="D17" i="11" s="1"/>
  <c r="B11" i="11"/>
  <c r="B17" i="11" s="1"/>
  <c r="O10" i="11"/>
  <c r="C10" i="11"/>
  <c r="O9" i="11"/>
  <c r="O8" i="11"/>
  <c r="C8" i="11"/>
  <c r="O7" i="11"/>
  <c r="C7" i="11"/>
  <c r="J6" i="11"/>
  <c r="O6" i="11" s="1"/>
  <c r="O11" i="11" s="1"/>
  <c r="O17" i="11" s="1"/>
  <c r="C4" i="11"/>
  <c r="C9" i="11" s="1"/>
  <c r="C3" i="11"/>
  <c r="G19" i="11" l="1"/>
  <c r="O21" i="11" s="1"/>
  <c r="P6" i="11"/>
  <c r="J11" i="11"/>
  <c r="J17" i="11" s="1"/>
  <c r="J19" i="11" s="1"/>
  <c r="C6" i="11"/>
  <c r="C11" i="11" s="1"/>
  <c r="C1" i="11" l="1"/>
  <c r="C15" i="11" l="1"/>
  <c r="C13" i="11"/>
  <c r="C16" i="11"/>
  <c r="C14" i="11"/>
  <c r="C12" i="11"/>
  <c r="C17" i="11" s="1"/>
  <c r="C22" i="11" l="1"/>
  <c r="O22" i="11"/>
  <c r="O19" i="11"/>
  <c r="K37" i="1" l="1"/>
  <c r="J37" i="1"/>
  <c r="K38" i="1" s="1"/>
  <c r="L36" i="1"/>
  <c r="L35" i="1"/>
  <c r="L34" i="1"/>
  <c r="L33" i="1"/>
  <c r="L32" i="1"/>
  <c r="N36" i="1" s="1"/>
  <c r="L31" i="1"/>
  <c r="L30" i="1"/>
  <c r="L29" i="1"/>
  <c r="M28" i="1"/>
  <c r="M29" i="1" s="1"/>
  <c r="M30" i="1" s="1"/>
  <c r="M31" i="1" s="1"/>
  <c r="M32" i="1" s="1"/>
  <c r="M33" i="1" s="1"/>
  <c r="M34" i="1" s="1"/>
  <c r="M35" i="1" s="1"/>
  <c r="M36" i="1" s="1"/>
  <c r="L28" i="1"/>
  <c r="L27" i="1"/>
  <c r="C23" i="1"/>
  <c r="K18" i="1"/>
  <c r="N17" i="1"/>
  <c r="M17" i="1"/>
  <c r="L17" i="1"/>
  <c r="K17" i="1"/>
  <c r="I17" i="1"/>
  <c r="G17" i="1"/>
  <c r="E17" i="1"/>
  <c r="D17" i="1"/>
  <c r="B17" i="1"/>
  <c r="H16" i="1"/>
  <c r="F16" i="1"/>
  <c r="O16" i="1" s="1"/>
  <c r="J15" i="1"/>
  <c r="H15" i="1"/>
  <c r="O15" i="1" s="1"/>
  <c r="F15" i="1"/>
  <c r="J14" i="1"/>
  <c r="H14" i="1"/>
  <c r="F14" i="1"/>
  <c r="O14" i="1" s="1"/>
  <c r="H13" i="1"/>
  <c r="F13" i="1"/>
  <c r="O13" i="1" s="1"/>
  <c r="J12" i="1"/>
  <c r="H12" i="1"/>
  <c r="F12" i="1"/>
  <c r="N11" i="1"/>
  <c r="M11" i="1"/>
  <c r="M18" i="1" s="1"/>
  <c r="L11" i="1"/>
  <c r="K11" i="1"/>
  <c r="I11" i="1"/>
  <c r="I18" i="1" s="1"/>
  <c r="G11" i="1"/>
  <c r="E11" i="1"/>
  <c r="D11" i="1"/>
  <c r="B11" i="1"/>
  <c r="B18" i="1" s="1"/>
  <c r="J10" i="1"/>
  <c r="H10" i="1"/>
  <c r="F10" i="1"/>
  <c r="C10" i="1"/>
  <c r="J9" i="1"/>
  <c r="H9" i="1"/>
  <c r="F9" i="1"/>
  <c r="H8" i="1"/>
  <c r="F8" i="1"/>
  <c r="H7" i="1"/>
  <c r="F7" i="1"/>
  <c r="C4" i="1"/>
  <c r="C15" i="1" s="1"/>
  <c r="C3" i="1"/>
  <c r="L37" i="1" l="1"/>
  <c r="N18" i="1"/>
  <c r="C13" i="1"/>
  <c r="O10" i="1"/>
  <c r="O8" i="1"/>
  <c r="L18" i="1"/>
  <c r="J11" i="1"/>
  <c r="J18" i="1" s="1"/>
  <c r="C14" i="1"/>
  <c r="N31" i="1"/>
  <c r="O31" i="1" s="1"/>
  <c r="H11" i="1"/>
  <c r="C9" i="1"/>
  <c r="O9" i="1"/>
  <c r="D18" i="1"/>
  <c r="F17" i="1"/>
  <c r="O7" i="1"/>
  <c r="E18" i="1"/>
  <c r="H17" i="1"/>
  <c r="G18" i="1"/>
  <c r="J17" i="1"/>
  <c r="F11" i="1"/>
  <c r="F18" i="1" s="1"/>
  <c r="C8" i="1"/>
  <c r="C16" i="1"/>
  <c r="C12" i="1"/>
  <c r="C17" i="1" s="1"/>
  <c r="O12" i="1"/>
  <c r="C7" i="1"/>
  <c r="O11" i="1" l="1"/>
  <c r="H18" i="1"/>
  <c r="C11" i="1"/>
  <c r="C18" i="1" s="1"/>
  <c r="O17" i="1"/>
  <c r="O18" i="1" l="1"/>
  <c r="O23" i="1" s="1"/>
  <c r="J20" i="1" l="1"/>
  <c r="E20" i="1"/>
  <c r="O20" i="1"/>
  <c r="G20" i="1"/>
  <c r="O22" i="1" l="1"/>
  <c r="C22" i="7"/>
  <c r="O16" i="7"/>
  <c r="O15" i="7"/>
  <c r="O14" i="7"/>
  <c r="O13" i="7"/>
  <c r="O12" i="7"/>
  <c r="N11" i="7"/>
  <c r="N17" i="7" s="1"/>
  <c r="M11" i="7"/>
  <c r="M17" i="7" s="1"/>
  <c r="L11" i="7"/>
  <c r="L17" i="7" s="1"/>
  <c r="K11" i="7"/>
  <c r="K17" i="7" s="1"/>
  <c r="J11" i="7"/>
  <c r="J17" i="7" s="1"/>
  <c r="I11" i="7"/>
  <c r="I17" i="7" s="1"/>
  <c r="H11" i="7"/>
  <c r="H17" i="7" s="1"/>
  <c r="G19" i="7" s="1"/>
  <c r="G11" i="7"/>
  <c r="G17" i="7" s="1"/>
  <c r="F11" i="7"/>
  <c r="F17" i="7" s="1"/>
  <c r="E19" i="7" s="1"/>
  <c r="E11" i="7"/>
  <c r="E17" i="7" s="1"/>
  <c r="D11" i="7"/>
  <c r="D17" i="7" s="1"/>
  <c r="B11" i="7"/>
  <c r="B17" i="7" s="1"/>
  <c r="O10" i="7"/>
  <c r="O9" i="7"/>
  <c r="O11" i="7" s="1"/>
  <c r="O17" i="7" s="1"/>
  <c r="O8" i="7"/>
  <c r="O7" i="7"/>
  <c r="O6" i="7"/>
  <c r="C4" i="7"/>
  <c r="C15" i="7" s="1"/>
  <c r="C3" i="7"/>
  <c r="J19" i="7" l="1"/>
  <c r="O21" i="7" s="1"/>
  <c r="C10" i="7"/>
  <c r="C7" i="7"/>
  <c r="C13" i="7"/>
  <c r="C6" i="7"/>
  <c r="C11" i="7" s="1"/>
  <c r="C17" i="7" s="1"/>
  <c r="O19" i="7" s="1"/>
  <c r="C16" i="7"/>
  <c r="C12" i="7"/>
  <c r="C8" i="7"/>
  <c r="C14" i="7"/>
  <c r="C9" i="7"/>
  <c r="O22" i="7" l="1"/>
  <c r="O22" i="6" l="1"/>
  <c r="C22" i="6"/>
  <c r="O21" i="6"/>
  <c r="K36" i="6"/>
  <c r="J36" i="6"/>
  <c r="L35" i="6"/>
  <c r="L34" i="6"/>
  <c r="L33" i="6"/>
  <c r="L32" i="6"/>
  <c r="L31" i="6"/>
  <c r="L30" i="6"/>
  <c r="L29" i="6"/>
  <c r="L28" i="6"/>
  <c r="M27" i="6"/>
  <c r="M28" i="6" s="1"/>
  <c r="M29" i="6" s="1"/>
  <c r="M30" i="6" s="1"/>
  <c r="M31" i="6" s="1"/>
  <c r="M32" i="6" s="1"/>
  <c r="M33" i="6" s="1"/>
  <c r="M34" i="6" s="1"/>
  <c r="M35" i="6" s="1"/>
  <c r="L27" i="6"/>
  <c r="L26" i="6"/>
  <c r="K37" i="6" l="1"/>
  <c r="N35" i="6"/>
  <c r="N30" i="6"/>
  <c r="O30" i="6" s="1"/>
  <c r="L36" i="6"/>
  <c r="C4" i="6" l="1"/>
  <c r="C3" i="6"/>
  <c r="L44" i="9" l="1"/>
  <c r="K44" i="9"/>
  <c r="J44" i="9"/>
  <c r="D44" i="9"/>
  <c r="E44" i="9"/>
  <c r="F44" i="9"/>
  <c r="G44" i="9"/>
  <c r="H44" i="9"/>
  <c r="I44" i="9"/>
  <c r="C44" i="9"/>
  <c r="G45" i="9"/>
  <c r="D45" i="9"/>
  <c r="E45" i="9"/>
  <c r="F45" i="9"/>
  <c r="H45" i="9"/>
  <c r="I45" i="9"/>
  <c r="J45" i="9"/>
  <c r="K45" i="9"/>
  <c r="L45" i="9"/>
  <c r="C7" i="9"/>
  <c r="L75" i="9" l="1"/>
  <c r="J75" i="9"/>
  <c r="I75" i="9"/>
  <c r="E75" i="9"/>
  <c r="D75" i="9"/>
  <c r="C75" i="9"/>
  <c r="L74" i="9"/>
  <c r="K74" i="9"/>
  <c r="J74" i="9"/>
  <c r="I74" i="9"/>
  <c r="H74" i="9"/>
  <c r="G74" i="9"/>
  <c r="F74" i="9"/>
  <c r="E74" i="9"/>
  <c r="D74" i="9"/>
  <c r="M74" i="9" s="1"/>
  <c r="C74" i="9"/>
  <c r="L73" i="9"/>
  <c r="K73" i="9"/>
  <c r="J73" i="9"/>
  <c r="I73" i="9"/>
  <c r="H73" i="9"/>
  <c r="G73" i="9"/>
  <c r="F73" i="9"/>
  <c r="E73" i="9"/>
  <c r="D73" i="9"/>
  <c r="C73" i="9"/>
  <c r="M73" i="9" s="1"/>
  <c r="L72" i="9"/>
  <c r="K72" i="9"/>
  <c r="J72" i="9"/>
  <c r="I72" i="9"/>
  <c r="H72" i="9"/>
  <c r="G72" i="9"/>
  <c r="F72" i="9"/>
  <c r="E72" i="9"/>
  <c r="D72" i="9"/>
  <c r="C72" i="9"/>
  <c r="M72" i="9" s="1"/>
  <c r="F71" i="9"/>
  <c r="E71" i="9"/>
  <c r="C71" i="9"/>
  <c r="L70" i="9"/>
  <c r="K70" i="9"/>
  <c r="J70" i="9"/>
  <c r="I70" i="9"/>
  <c r="H70" i="9"/>
  <c r="G70" i="9"/>
  <c r="F70" i="9"/>
  <c r="E70" i="9"/>
  <c r="D70" i="9"/>
  <c r="C70" i="9"/>
  <c r="M70" i="9" s="1"/>
  <c r="L69" i="9"/>
  <c r="K69" i="9"/>
  <c r="J69" i="9"/>
  <c r="I69" i="9"/>
  <c r="G69" i="9"/>
  <c r="F69" i="9"/>
  <c r="D69" i="9"/>
  <c r="C69" i="9"/>
  <c r="L68" i="9"/>
  <c r="K68" i="9"/>
  <c r="J68" i="9"/>
  <c r="I68" i="9"/>
  <c r="F68" i="9"/>
  <c r="E68" i="9"/>
  <c r="D68" i="9"/>
  <c r="C68" i="9"/>
  <c r="L67" i="9"/>
  <c r="H67" i="9"/>
  <c r="D67" i="9"/>
  <c r="L66" i="9"/>
  <c r="K66" i="9"/>
  <c r="J66" i="9"/>
  <c r="I66" i="9"/>
  <c r="H66" i="9"/>
  <c r="G66" i="9"/>
  <c r="F66" i="9"/>
  <c r="E66" i="9"/>
  <c r="D66" i="9"/>
  <c r="C66" i="9"/>
  <c r="L65" i="9"/>
  <c r="K65" i="9"/>
  <c r="J65" i="9"/>
  <c r="I65" i="9"/>
  <c r="H65" i="9"/>
  <c r="G65" i="9"/>
  <c r="F65" i="9"/>
  <c r="E65" i="9"/>
  <c r="D65" i="9"/>
  <c r="C65" i="9"/>
  <c r="L64" i="9"/>
  <c r="K64" i="9"/>
  <c r="J64" i="9"/>
  <c r="I64" i="9"/>
  <c r="H64" i="9"/>
  <c r="G64" i="9"/>
  <c r="F64" i="9"/>
  <c r="E64" i="9"/>
  <c r="D64" i="9"/>
  <c r="C64" i="9"/>
  <c r="L63" i="9"/>
  <c r="K63" i="9"/>
  <c r="J63" i="9"/>
  <c r="I63" i="9"/>
  <c r="H63" i="9"/>
  <c r="G63" i="9"/>
  <c r="F63" i="9"/>
  <c r="E63" i="9"/>
  <c r="D63" i="9"/>
  <c r="C63" i="9"/>
  <c r="L62" i="9"/>
  <c r="K62" i="9"/>
  <c r="J62" i="9"/>
  <c r="I62" i="9"/>
  <c r="H62" i="9"/>
  <c r="G62" i="9"/>
  <c r="F62" i="9"/>
  <c r="E62" i="9"/>
  <c r="D62" i="9"/>
  <c r="C62" i="9"/>
  <c r="L53" i="9"/>
  <c r="J53" i="9"/>
  <c r="G53" i="9"/>
  <c r="F53" i="9"/>
  <c r="E53" i="9"/>
  <c r="D53" i="9"/>
  <c r="C53" i="9"/>
  <c r="L52" i="9"/>
  <c r="K52" i="9"/>
  <c r="J52" i="9"/>
  <c r="I52" i="9"/>
  <c r="H52" i="9"/>
  <c r="G52" i="9"/>
  <c r="F52" i="9"/>
  <c r="E52" i="9"/>
  <c r="M52" i="9" s="1"/>
  <c r="D52" i="9"/>
  <c r="C52" i="9"/>
  <c r="L51" i="9"/>
  <c r="K51" i="9"/>
  <c r="J51" i="9"/>
  <c r="I51" i="9"/>
  <c r="H51" i="9"/>
  <c r="G51" i="9"/>
  <c r="F51" i="9"/>
  <c r="E51" i="9"/>
  <c r="D51" i="9"/>
  <c r="M51" i="9" s="1"/>
  <c r="C51" i="9"/>
  <c r="L50" i="9"/>
  <c r="K50" i="9"/>
  <c r="J50" i="9"/>
  <c r="I50" i="9"/>
  <c r="H50" i="9"/>
  <c r="G50" i="9"/>
  <c r="F50" i="9"/>
  <c r="E50" i="9"/>
  <c r="D50" i="9"/>
  <c r="C50" i="9"/>
  <c r="M50" i="9" s="1"/>
  <c r="K49" i="9"/>
  <c r="J49" i="9"/>
  <c r="F49" i="9"/>
  <c r="E49" i="9"/>
  <c r="C49" i="9"/>
  <c r="L48" i="9"/>
  <c r="K48" i="9"/>
  <c r="J48" i="9"/>
  <c r="I48" i="9"/>
  <c r="H48" i="9"/>
  <c r="G48" i="9"/>
  <c r="F48" i="9"/>
  <c r="E48" i="9"/>
  <c r="M48" i="9" s="1"/>
  <c r="C48" i="9"/>
  <c r="L47" i="9"/>
  <c r="K47" i="9"/>
  <c r="J47" i="9"/>
  <c r="I47" i="9"/>
  <c r="H47" i="9"/>
  <c r="G47" i="9"/>
  <c r="F47" i="9"/>
  <c r="D47" i="9"/>
  <c r="C47" i="9"/>
  <c r="L46" i="9"/>
  <c r="K46" i="9"/>
  <c r="J46" i="9"/>
  <c r="I46" i="9"/>
  <c r="H46" i="9"/>
  <c r="F46" i="9"/>
  <c r="E46" i="9"/>
  <c r="C46" i="9"/>
  <c r="F54" i="9"/>
  <c r="M44" i="9"/>
  <c r="L43" i="9"/>
  <c r="K43" i="9"/>
  <c r="J43" i="9"/>
  <c r="I43" i="9"/>
  <c r="H43" i="9"/>
  <c r="G43" i="9"/>
  <c r="F43" i="9"/>
  <c r="E43" i="9"/>
  <c r="D43" i="9"/>
  <c r="M43" i="9" s="1"/>
  <c r="L42" i="9"/>
  <c r="K42" i="9"/>
  <c r="J42" i="9"/>
  <c r="I42" i="9"/>
  <c r="H42" i="9"/>
  <c r="G42" i="9"/>
  <c r="F42" i="9"/>
  <c r="E42" i="9"/>
  <c r="C42" i="9"/>
  <c r="M42" i="9" s="1"/>
  <c r="L41" i="9"/>
  <c r="K41" i="9"/>
  <c r="J41" i="9"/>
  <c r="I41" i="9"/>
  <c r="H41" i="9"/>
  <c r="G41" i="9"/>
  <c r="F41" i="9"/>
  <c r="E41" i="9"/>
  <c r="D41" i="9"/>
  <c r="C41" i="9"/>
  <c r="L40" i="9"/>
  <c r="K40" i="9"/>
  <c r="J40" i="9"/>
  <c r="I40" i="9"/>
  <c r="H40" i="9"/>
  <c r="G40" i="9"/>
  <c r="F40" i="9"/>
  <c r="E40" i="9"/>
  <c r="D40" i="9"/>
  <c r="C40" i="9"/>
  <c r="L35" i="9"/>
  <c r="K35" i="9"/>
  <c r="J35" i="9"/>
  <c r="E35" i="9"/>
  <c r="D35" i="9"/>
  <c r="C35" i="9"/>
  <c r="L34" i="9"/>
  <c r="K34" i="9"/>
  <c r="J34" i="9"/>
  <c r="I34" i="9"/>
  <c r="H34" i="9"/>
  <c r="G34" i="9"/>
  <c r="F34" i="9"/>
  <c r="E34" i="9"/>
  <c r="M34" i="9" s="1"/>
  <c r="D34" i="9"/>
  <c r="C34" i="9"/>
  <c r="L33" i="9"/>
  <c r="K33" i="9"/>
  <c r="J33" i="9"/>
  <c r="I33" i="9"/>
  <c r="H33" i="9"/>
  <c r="G33" i="9"/>
  <c r="F33" i="9"/>
  <c r="E33" i="9"/>
  <c r="D33" i="9"/>
  <c r="C33" i="9"/>
  <c r="M33" i="9" s="1"/>
  <c r="L32" i="9"/>
  <c r="K32" i="9"/>
  <c r="J32" i="9"/>
  <c r="I32" i="9"/>
  <c r="H32" i="9"/>
  <c r="G32" i="9"/>
  <c r="F32" i="9"/>
  <c r="E32" i="9"/>
  <c r="D32" i="9"/>
  <c r="C32" i="9"/>
  <c r="M32" i="9" s="1"/>
  <c r="J31" i="9"/>
  <c r="G31" i="9"/>
  <c r="F31" i="9"/>
  <c r="E31" i="9"/>
  <c r="C31" i="9"/>
  <c r="L30" i="9"/>
  <c r="K30" i="9"/>
  <c r="J30" i="9"/>
  <c r="I30" i="9"/>
  <c r="H30" i="9"/>
  <c r="G30" i="9"/>
  <c r="F30" i="9"/>
  <c r="E30" i="9"/>
  <c r="C30" i="9"/>
  <c r="M30" i="9" s="1"/>
  <c r="L29" i="9"/>
  <c r="K29" i="9"/>
  <c r="J29" i="9"/>
  <c r="I29" i="9"/>
  <c r="H29" i="9"/>
  <c r="G29" i="9"/>
  <c r="F29" i="9"/>
  <c r="E29" i="9"/>
  <c r="D29" i="9"/>
  <c r="L28" i="9"/>
  <c r="K28" i="9"/>
  <c r="J28" i="9"/>
  <c r="I28" i="9"/>
  <c r="H28" i="9"/>
  <c r="G28" i="9"/>
  <c r="F28" i="9"/>
  <c r="E28" i="9"/>
  <c r="C28" i="9"/>
  <c r="L27" i="9"/>
  <c r="K27" i="9"/>
  <c r="G27" i="9"/>
  <c r="D27" i="9"/>
  <c r="C27" i="9"/>
  <c r="J26" i="9"/>
  <c r="J36" i="9" s="1"/>
  <c r="G26" i="9"/>
  <c r="F26" i="9"/>
  <c r="L25" i="9"/>
  <c r="K25" i="9"/>
  <c r="J25" i="9"/>
  <c r="I25" i="9"/>
  <c r="H25" i="9"/>
  <c r="G25" i="9"/>
  <c r="F25" i="9"/>
  <c r="E25" i="9"/>
  <c r="M25" i="9" s="1"/>
  <c r="D25" i="9"/>
  <c r="C25" i="9"/>
  <c r="L24" i="9"/>
  <c r="K24" i="9"/>
  <c r="J24" i="9"/>
  <c r="I24" i="9"/>
  <c r="H24" i="9"/>
  <c r="G24" i="9"/>
  <c r="F24" i="9"/>
  <c r="E24" i="9"/>
  <c r="D24" i="9"/>
  <c r="M24" i="9" s="1"/>
  <c r="C24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E22" i="9"/>
  <c r="D22" i="9"/>
  <c r="C22" i="9"/>
  <c r="K16" i="9"/>
  <c r="G16" i="9"/>
  <c r="C16" i="9"/>
  <c r="K15" i="9"/>
  <c r="K53" i="9" s="1"/>
  <c r="J15" i="9"/>
  <c r="I15" i="9"/>
  <c r="I35" i="9" s="1"/>
  <c r="H15" i="9"/>
  <c r="H75" i="9" s="1"/>
  <c r="G15" i="9"/>
  <c r="G75" i="9" s="1"/>
  <c r="F15" i="9"/>
  <c r="M15" i="9" s="1"/>
  <c r="M14" i="9"/>
  <c r="M13" i="9"/>
  <c r="M12" i="9"/>
  <c r="L11" i="9"/>
  <c r="L71" i="9" s="1"/>
  <c r="K11" i="9"/>
  <c r="K71" i="9" s="1"/>
  <c r="J11" i="9"/>
  <c r="J71" i="9" s="1"/>
  <c r="I11" i="9"/>
  <c r="I49" i="9" s="1"/>
  <c r="H11" i="9"/>
  <c r="H49" i="9" s="1"/>
  <c r="G11" i="9"/>
  <c r="G49" i="9" s="1"/>
  <c r="D11" i="9"/>
  <c r="D71" i="9" s="1"/>
  <c r="M10" i="9"/>
  <c r="M9" i="9"/>
  <c r="E9" i="9"/>
  <c r="E47" i="9" s="1"/>
  <c r="C9" i="9"/>
  <c r="C29" i="9" s="1"/>
  <c r="M29" i="9" s="1"/>
  <c r="M8" i="9"/>
  <c r="N8" i="9" s="1"/>
  <c r="G8" i="9"/>
  <c r="I57" i="9" s="1"/>
  <c r="D8" i="9"/>
  <c r="D28" i="9" s="1"/>
  <c r="L7" i="9"/>
  <c r="K7" i="9"/>
  <c r="K54" i="9" s="1"/>
  <c r="J7" i="9"/>
  <c r="J27" i="9" s="1"/>
  <c r="I7" i="9"/>
  <c r="H7" i="9"/>
  <c r="H27" i="9" s="1"/>
  <c r="G7" i="9"/>
  <c r="G67" i="9" s="1"/>
  <c r="F7" i="9"/>
  <c r="F67" i="9" s="1"/>
  <c r="E7" i="9"/>
  <c r="M7" i="9" s="1"/>
  <c r="D7" i="9"/>
  <c r="L6" i="9"/>
  <c r="L26" i="9" s="1"/>
  <c r="K6" i="9"/>
  <c r="K26" i="9" s="1"/>
  <c r="J6" i="9"/>
  <c r="J16" i="9" s="1"/>
  <c r="I6" i="9"/>
  <c r="I16" i="9" s="1"/>
  <c r="H6" i="9"/>
  <c r="H16" i="9" s="1"/>
  <c r="G6" i="9"/>
  <c r="F6" i="9"/>
  <c r="F16" i="9" s="1"/>
  <c r="E6" i="9"/>
  <c r="E26" i="9" s="1"/>
  <c r="D6" i="9"/>
  <c r="D26" i="9" s="1"/>
  <c r="C6" i="9"/>
  <c r="C26" i="9" s="1"/>
  <c r="P5" i="9"/>
  <c r="M5" i="9"/>
  <c r="P4" i="9"/>
  <c r="M4" i="9"/>
  <c r="C36" i="9" l="1"/>
  <c r="E36" i="9"/>
  <c r="C54" i="9"/>
  <c r="M45" i="9"/>
  <c r="N44" i="9" s="1"/>
  <c r="D76" i="9"/>
  <c r="L76" i="9"/>
  <c r="F76" i="9"/>
  <c r="M49" i="9"/>
  <c r="M28" i="9"/>
  <c r="N30" i="9" s="1"/>
  <c r="M46" i="9"/>
  <c r="M47" i="9"/>
  <c r="G76" i="9"/>
  <c r="G36" i="9"/>
  <c r="D16" i="9"/>
  <c r="I67" i="9"/>
  <c r="I76" i="9" s="1"/>
  <c r="E16" i="9"/>
  <c r="H26" i="9"/>
  <c r="E27" i="9"/>
  <c r="H31" i="9"/>
  <c r="D46" i="9"/>
  <c r="D54" i="9" s="1"/>
  <c r="D49" i="9"/>
  <c r="L49" i="9"/>
  <c r="L54" i="9" s="1"/>
  <c r="H53" i="9"/>
  <c r="M53" i="9" s="1"/>
  <c r="E54" i="9"/>
  <c r="M66" i="9"/>
  <c r="J67" i="9"/>
  <c r="J76" i="9" s="1"/>
  <c r="G71" i="9"/>
  <c r="K75" i="9"/>
  <c r="L16" i="9"/>
  <c r="I26" i="9"/>
  <c r="I36" i="9" s="1"/>
  <c r="F27" i="9"/>
  <c r="M27" i="9" s="1"/>
  <c r="I31" i="9"/>
  <c r="H54" i="9"/>
  <c r="I53" i="9"/>
  <c r="I54" i="9" s="1"/>
  <c r="C67" i="9"/>
  <c r="K67" i="9"/>
  <c r="K76" i="9" s="1"/>
  <c r="G68" i="9"/>
  <c r="M68" i="9" s="1"/>
  <c r="E69" i="9"/>
  <c r="M69" i="9" s="1"/>
  <c r="H71" i="9"/>
  <c r="H76" i="9" s="1"/>
  <c r="M11" i="9"/>
  <c r="K31" i="9"/>
  <c r="K36" i="9" s="1"/>
  <c r="G35" i="9"/>
  <c r="J54" i="9"/>
  <c r="G46" i="9"/>
  <c r="E67" i="9"/>
  <c r="E76" i="9" s="1"/>
  <c r="F75" i="9"/>
  <c r="M75" i="9" s="1"/>
  <c r="M6" i="9"/>
  <c r="F35" i="9"/>
  <c r="I71" i="9"/>
  <c r="I27" i="9"/>
  <c r="D31" i="9"/>
  <c r="D36" i="9" s="1"/>
  <c r="L31" i="9"/>
  <c r="L36" i="9" s="1"/>
  <c r="H35" i="9"/>
  <c r="M35" i="9" s="1"/>
  <c r="M71" i="9" l="1"/>
  <c r="N7" i="9"/>
  <c r="M16" i="9"/>
  <c r="M67" i="9"/>
  <c r="G54" i="9"/>
  <c r="M54" i="9" s="1"/>
  <c r="F36" i="9"/>
  <c r="M36" i="9" s="1"/>
  <c r="N67" i="9"/>
  <c r="M31" i="9"/>
  <c r="H36" i="9"/>
  <c r="C76" i="9"/>
  <c r="M76" i="9" s="1"/>
  <c r="M26" i="9"/>
  <c r="M58" i="9" l="1"/>
  <c r="G56" i="9"/>
  <c r="G58" i="9" s="1"/>
  <c r="N36" i="9"/>
  <c r="N27" i="9"/>
  <c r="L5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Bénédicte Million</author>
  </authors>
  <commentList>
    <comment ref="J44" authorId="0" shapeId="0" xr:uid="{F5E80124-7C4E-7D41-9DE3-23BD95291A59}">
      <text>
        <r>
          <rPr>
            <b/>
            <sz val="11"/>
            <color rgb="FFFF0000"/>
            <rFont val="Calibri"/>
            <family val="2"/>
          </rPr>
          <t>Bénédicte Million: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no discount inserted
</t>
        </r>
      </text>
    </comment>
    <comment ref="K44" authorId="0" shapeId="0" xr:uid="{8E889923-7846-D64C-BDE9-E408E6BE8868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L44" authorId="0" shapeId="0" xr:uid="{374224EC-AE9C-614D-B219-DF76F667E6DC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J66" authorId="0" shapeId="0" xr:uid="{955DCA04-072C-A148-AA9F-2927D27C75AA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K66" authorId="0" shapeId="0" xr:uid="{1294CCCC-1A63-054F-868F-6C192153796B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L66" authorId="0" shapeId="0" xr:uid="{9C7CA498-6A22-1741-B564-0B287E87A07D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Bénédicte Million</author>
  </authors>
  <commentList>
    <comment ref="K10" authorId="0" shapeId="0" xr:uid="{04569385-94AC-9A4E-BEED-D341B572F413}">
      <text>
        <r>
          <rPr>
            <b/>
            <sz val="11"/>
            <color rgb="FFFF0000"/>
            <rFont val="Calibri"/>
            <family val="2"/>
          </rPr>
          <t>Bénédicte Million: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no discount inserted
</t>
        </r>
      </text>
    </comment>
    <comment ref="L10" authorId="0" shapeId="0" xr:uid="{6CB83347-D4B2-3646-AEAF-C4F62EEC2D90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M10" authorId="0" shapeId="0" xr:uid="{7DF6A54F-CB0B-6E40-BFAB-B08AF5ACA2FE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C45" authorId="0" shapeId="0" xr:uid="{F122947F-FF3D-8447-8101-F6FC27426F83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2020+2021</t>
        </r>
      </text>
    </comment>
    <comment ref="L47" authorId="0" shapeId="0" xr:uid="{5786C947-354F-1B4B-9B0F-17A1EDC94723}">
      <text>
        <r>
          <rPr>
            <b/>
            <sz val="11"/>
            <color rgb="FFFF0000"/>
            <rFont val="Calibri"/>
            <family val="2"/>
          </rPr>
          <t>Bénédicte Million: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no discount inserted
</t>
        </r>
      </text>
    </comment>
    <comment ref="M47" authorId="0" shapeId="0" xr:uid="{F34E7ED3-3F8D-E34D-8E19-64B06DAC3FA4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N47" authorId="0" shapeId="0" xr:uid="{E0AA6345-C248-4544-AF87-EBD9FD88CD24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L48" authorId="0" shapeId="0" xr:uid="{48EDE4BF-9FCF-B84F-9EA0-B609054B3FDD}">
      <text>
        <r>
          <rPr>
            <b/>
            <sz val="11"/>
            <color rgb="FFFF0000"/>
            <rFont val="Calibri"/>
            <family val="2"/>
          </rPr>
          <t>Bénédicte Million: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no discount inserted
</t>
        </r>
      </text>
    </comment>
    <comment ref="M48" authorId="0" shapeId="0" xr:uid="{C1664448-0A2E-A441-A6C2-C7DEEC1AEE91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N48" authorId="0" shapeId="0" xr:uid="{B5E69C81-ED70-3441-8BA9-DC7489112282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C59" authorId="0" shapeId="0" xr:uid="{6D22A6C3-6D6B-FE44-A22C-5D014C6BD282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CTT considered it as 2020</t>
        </r>
      </text>
    </comment>
    <comment ref="L62" authorId="0" shapeId="0" xr:uid="{ADFF4A04-9D7C-1E4A-85EA-7C643E0D006A}">
      <text>
        <r>
          <rPr>
            <b/>
            <sz val="11"/>
            <color rgb="FFFF0000"/>
            <rFont val="Calibri"/>
            <family val="2"/>
          </rPr>
          <t>Bénédicte Million: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no discount inserted
</t>
        </r>
      </text>
    </comment>
    <comment ref="M62" authorId="0" shapeId="0" xr:uid="{ABCD8D59-2B62-9B44-87B3-B66960D6AB87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N62" authorId="0" shapeId="0" xr:uid="{C1AD165D-B2C8-F84A-83E8-8B9E86DBBBB9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Bénédicte Million</author>
  </authors>
  <commentList>
    <comment ref="J44" authorId="0" shapeId="0" xr:uid="{B5123551-D734-E345-ACFC-55A3509C529B}">
      <text>
        <r>
          <rPr>
            <b/>
            <sz val="11"/>
            <color rgb="FFFF0000"/>
            <rFont val="Calibri"/>
            <family val="2"/>
          </rPr>
          <t>Bénédicte Million: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no discount inserted
</t>
        </r>
      </text>
    </comment>
    <comment ref="K44" authorId="0" shapeId="0" xr:uid="{2CA30FD5-A8AF-AF4F-9C84-3A92F7167813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L44" authorId="0" shapeId="0" xr:uid="{F6EA5311-FAD1-9D42-B82B-BEA5377A16D1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J66" authorId="0" shapeId="0" xr:uid="{99977A65-9314-6543-8986-7303563DDB09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K66" authorId="0" shapeId="0" xr:uid="{DF304CEE-C6CE-2E42-A4A1-A78ABD8286D8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L66" authorId="0" shapeId="0" xr:uid="{14BF992B-AD7A-EA45-A3E5-FE19BFE47EF3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Bénédicte Million</author>
  </authors>
  <commentList>
    <comment ref="I6" authorId="0" shapeId="0" xr:uid="{DFA38757-2282-934C-815C-0D96F51DC190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STARE</t>
        </r>
      </text>
    </comment>
    <comment ref="J9" authorId="0" shapeId="0" xr:uid="{E08DA5F9-51CD-DC4C-ACEC-249FE3BB7274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SMART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Bénédicte Million</author>
  </authors>
  <commentList>
    <comment ref="J6" authorId="0" shapeId="0" xr:uid="{667514CB-9A7E-5741-A764-DCA35370A0C5}">
      <text>
        <r>
          <rPr>
            <b/>
            <i/>
            <sz val="11"/>
            <color rgb="FF00B050"/>
            <rFont val="Calibri"/>
            <family val="2"/>
            <scheme val="minor"/>
          </rPr>
          <t>Bénédicte Million: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b/>
            <sz val="11"/>
            <color rgb="FFFF0000"/>
            <rFont val="Calibri"/>
            <family val="2"/>
            <scheme val="minor"/>
          </rPr>
          <t>17,85 anticipated f</t>
        </r>
        <r>
          <rPr>
            <sz val="12"/>
            <color rgb="FF000000"/>
            <rFont val="Calibri"/>
            <family val="2"/>
          </rPr>
          <t xml:space="preserve">or electronics in 2020: 
</t>
        </r>
        <r>
          <rPr>
            <sz val="12"/>
            <color rgb="FF000000"/>
            <rFont val="Calibri"/>
            <family val="2"/>
          </rPr>
          <t xml:space="preserve">12 TRENZ + 4 digiopt12 ((unit cost 1,8*4)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+ 48 segment boards (to complete UK 16 core boards)
</t>
        </r>
        <r>
          <rPr>
            <sz val="12"/>
            <color rgb="FF000000"/>
            <rFont val="Calibri"/>
            <family val="2"/>
          </rPr>
          <t xml:space="preserve">+ 8+x full digiopt12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@ 4*1,89/pc = new EOS offer on  14/7/2021 (+5%)</t>
        </r>
      </text>
    </comment>
    <comment ref="L6" authorId="0" shapeId="0" xr:uid="{375EB8B4-F64E-2A49-8C95-A7106406914C}">
      <text>
        <r>
          <rPr>
            <b/>
            <i/>
            <sz val="11"/>
            <color rgb="FF00B050"/>
            <rFont val="Calibri"/>
            <family val="2"/>
            <scheme val="minor"/>
          </rPr>
          <t>Bénédicte Million: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               47 anticipated by INFN=
</t>
        </r>
        <r>
          <rPr>
            <sz val="12"/>
            <color rgb="FF000000"/>
            <rFont val="Calibri"/>
            <family val="2"/>
          </rPr>
          <t xml:space="preserve">28,87 cavi (+ 17,85 elettronica (anticipated  for 
</t>
        </r>
        <r>
          <rPr>
            <sz val="12"/>
            <color rgb="FF000000"/>
            <rFont val="Calibri"/>
            <family val="2"/>
          </rPr>
          <t xml:space="preserve">                         installation cables) in 2020, see cell J6)
</t>
        </r>
        <r>
          <rPr>
            <sz val="12"/>
            <color rgb="FF000000"/>
            <rFont val="Calibri"/>
            <family val="2"/>
          </rPr>
          <t xml:space="preserve">+ 4,650 for extra HV cables in 2021
</t>
        </r>
        <r>
          <rPr>
            <sz val="12"/>
            <color rgb="FF000000"/>
            <rFont val="Calibri"/>
            <family val="2"/>
          </rPr>
          <t xml:space="preserve">+ 11,983 for Autofill cables
</t>
        </r>
        <r>
          <rPr>
            <sz val="12"/>
            <color rgb="FF000000"/>
            <rFont val="Calibri"/>
            <family val="2"/>
          </rPr>
          <t xml:space="preserve">+ 13,485 for new HV CAEN system (completing 6 cards lent by GALILEO)
</t>
        </r>
        <r>
          <rPr>
            <sz val="12"/>
            <color rgb="FF000000"/>
            <rFont val="Calibri"/>
            <family val="2"/>
          </rPr>
          <t>+ 60 for 60 metallic hoses (for 30 ATC)</t>
        </r>
      </text>
    </comment>
    <comment ref="P6" authorId="0" shapeId="0" xr:uid="{FF28A89C-43E6-FE46-916C-7BB9E0DFE38F}">
      <text>
        <r>
          <rPr>
            <b/>
            <sz val="15"/>
            <color theme="3"/>
            <rFont val="Calibri"/>
            <family val="2"/>
            <scheme val="minor"/>
          </rPr>
          <t>Bénédicte Million:</t>
        </r>
        <r>
          <rPr>
            <b/>
            <sz val="13"/>
            <color theme="3"/>
            <rFont val="Calibri"/>
            <family val="2"/>
            <scheme val="minor"/>
          </rPr>
          <t xml:space="preserve">
</t>
        </r>
        <r>
          <rPr>
            <b/>
            <sz val="13"/>
            <color theme="3"/>
            <rFont val="Calibri"/>
            <family val="2"/>
            <scheme val="minor"/>
          </rPr>
          <t xml:space="preserve">526 ricevuti da INFN (/1,22% IVA)
</t>
        </r>
        <r>
          <rPr>
            <b/>
            <sz val="13"/>
            <color theme="3"/>
            <rFont val="Calibri"/>
            <family val="2"/>
            <scheme val="minor"/>
          </rPr>
          <t xml:space="preserve">+ 60 + 13,485 spesi dai LNL
</t>
        </r>
        <r>
          <rPr>
            <b/>
            <sz val="13"/>
            <color theme="3"/>
            <rFont val="Calibri"/>
            <family val="2"/>
            <scheme val="minor"/>
          </rPr>
          <t xml:space="preserve">+ 13,0515/1,22 fondi extra Milano (GB)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Bénédicte Million</author>
  </authors>
  <commentList>
    <comment ref="F6" authorId="0" shapeId="0" xr:uid="{A1E33167-871A-2348-B438-478A070157CE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2020: 617 for 3 capsules (UWS)</t>
        </r>
      </text>
    </comment>
    <comment ref="H6" authorId="0" shapeId="0" xr:uid="{B82B9B32-C43D-E945-B987-883EDA30A379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2021: 1 ATC (York)</t>
        </r>
      </text>
    </comment>
    <comment ref="J6" authorId="0" shapeId="0" xr:uid="{E6DC2453-1B73-FE43-9792-69496204C75E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2021: 28,8 for 16 DIGIOPT12 Core boards
</t>
        </r>
        <r>
          <rPr>
            <sz val="10"/>
            <color rgb="FF000000"/>
            <rFont val="Tahoma"/>
            <family val="2"/>
          </rPr>
          <t>+ 50,34 for 20 TRENZ pairs of boards</t>
        </r>
      </text>
    </comment>
    <comment ref="L6" authorId="0" shapeId="0" xr:uid="{138F9752-C76F-694F-964F-75F636781299}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2020: mechanics for LNL (DL)</t>
        </r>
      </text>
    </comment>
  </commentList>
</comments>
</file>

<file path=xl/sharedStrings.xml><?xml version="1.0" encoding="utf-8"?>
<sst xmlns="http://schemas.openxmlformats.org/spreadsheetml/2006/main" count="757" uniqueCount="132">
  <si>
    <t xml:space="preserve">Core </t>
  </si>
  <si>
    <t>(IVA escl)</t>
  </si>
  <si>
    <t>Spent</t>
  </si>
  <si>
    <t>Caps</t>
  </si>
  <si>
    <t>(IVA escl.)</t>
  </si>
  <si>
    <t>2021-2030</t>
  </si>
  <si>
    <t>5 ATC</t>
  </si>
  <si>
    <t>Totale anno/5</t>
  </si>
  <si>
    <t>INFRA</t>
  </si>
  <si>
    <t xml:space="preserve">Cryostat   </t>
  </si>
  <si>
    <t>#</t>
  </si>
  <si>
    <t>prop1</t>
  </si>
  <si>
    <t>Spent / Prop</t>
  </si>
  <si>
    <t># ch in MoU</t>
  </si>
  <si>
    <t xml:space="preserve"> </t>
  </si>
  <si>
    <t>Infrastructure</t>
  </si>
  <si>
    <t>Mechanics</t>
  </si>
  <si>
    <t>Total</t>
  </si>
  <si>
    <t>2021-2025</t>
  </si>
  <si>
    <t>2026-2030</t>
  </si>
  <si>
    <t>Electronics</t>
  </si>
  <si>
    <t>Cryostats</t>
  </si>
  <si>
    <t>MoU</t>
  </si>
  <si>
    <t>16 caps</t>
  </si>
  <si>
    <t>Ancillary</t>
  </si>
  <si>
    <t>Data ana</t>
  </si>
  <si>
    <t>DAQ</t>
  </si>
  <si>
    <t xml:space="preserve">MoU   </t>
  </si>
  <si>
    <t>Global</t>
  </si>
  <si>
    <t>France</t>
  </si>
  <si>
    <t>Germany</t>
  </si>
  <si>
    <t>C- Costs in k€ per year/procurement goal in Capsules/Clusters with 2019 + Inflation - Discount costs (VAT Excluded)</t>
  </si>
  <si>
    <t>Inflation =1.5%/year</t>
  </si>
  <si>
    <t>Detectors</t>
  </si>
  <si>
    <t>7/8  capsules/year</t>
  </si>
  <si>
    <t>2/3 Cryostats/year</t>
  </si>
  <si>
    <t xml:space="preserve">Detector </t>
  </si>
  <si>
    <t>Detectors + Cryostats</t>
  </si>
  <si>
    <t>Cryostat</t>
  </si>
  <si>
    <t>Electronics Upgrade</t>
  </si>
  <si>
    <t>GTS/SMART</t>
  </si>
  <si>
    <t>PSA &amp; DAQ</t>
  </si>
  <si>
    <t>Storage</t>
  </si>
  <si>
    <t>Analysis</t>
  </si>
  <si>
    <t>draft MoU Phase 2</t>
  </si>
  <si>
    <t>64/21</t>
  </si>
  <si>
    <t>72/24</t>
  </si>
  <si>
    <t>80/26</t>
  </si>
  <si>
    <t>88/29</t>
  </si>
  <si>
    <t>96/31</t>
  </si>
  <si>
    <t>104/34</t>
  </si>
  <si>
    <t>111/37</t>
  </si>
  <si>
    <t>119/40</t>
  </si>
  <si>
    <t>127/43</t>
  </si>
  <si>
    <t>135/45</t>
  </si>
  <si>
    <t>A- Costs in k€ per year/procurement goal in Capsules/Clusters with 2020 costs (VAT Excluded)</t>
  </si>
  <si>
    <t>Detectors +Cryostats</t>
  </si>
  <si>
    <t>B- Costs in k€ per year/procurement goal in Capsules/Clusters with 2019 + Inflation costs (VAT Excluded)</t>
  </si>
  <si>
    <t>D- Costs in k€ per year/procurement goal in Capsules/Clusters with 2019 + Maximum Mirion Inflation - Discount costs (VAT Excluded)</t>
  </si>
  <si>
    <t>Detector Inflation =2.5%/year</t>
  </si>
  <si>
    <t>Bulgaria</t>
  </si>
  <si>
    <t>Finland</t>
  </si>
  <si>
    <t>Hungary</t>
  </si>
  <si>
    <t>Italy</t>
  </si>
  <si>
    <t>Poland</t>
  </si>
  <si>
    <t>Spain</t>
  </si>
  <si>
    <t>Sweden</t>
  </si>
  <si>
    <t>Turkey</t>
  </si>
  <si>
    <t>UK</t>
  </si>
  <si>
    <t>Planned</t>
  </si>
  <si>
    <t>total number</t>
  </si>
  <si>
    <t>total price</t>
  </si>
  <si>
    <t>price / Unit</t>
  </si>
  <si>
    <t>C R Y O S T A T S</t>
  </si>
  <si>
    <t xml:space="preserve">F U L L     A T C </t>
  </si>
  <si>
    <t>26 ATC</t>
  </si>
  <si>
    <t>5,33 ATC</t>
  </si>
  <si>
    <t>new electr.
(78 ch)</t>
  </si>
  <si>
    <t>sum</t>
  </si>
  <si>
    <t>year</t>
  </si>
  <si>
    <t># ch</t>
  </si>
  <si>
    <t>upgr. FEE
(45 ch)</t>
  </si>
  <si>
    <t>FEE
(digiopt. =  43,4% x FEE)</t>
  </si>
  <si>
    <t>FEE</t>
  </si>
  <si>
    <t>Project Definition</t>
  </si>
  <si>
    <t>proposition France</t>
  </si>
  <si>
    <t>upgr. + new</t>
  </si>
  <si>
    <t>new</t>
  </si>
  <si>
    <t>2020+2021</t>
  </si>
  <si>
    <t xml:space="preserve">still available </t>
  </si>
  <si>
    <t>12 caps</t>
  </si>
  <si>
    <t>4 ATC</t>
  </si>
  <si>
    <t>ITALY</t>
  </si>
  <si>
    <t>2021-2026</t>
  </si>
  <si>
    <t>2021:</t>
  </si>
  <si>
    <t>missing other capsule purchasers, buying 1 capsule would mean spending 30k€ extra …  so I start with 2 cryostats and more electronnics</t>
  </si>
  <si>
    <t>proposition INFN</t>
  </si>
  <si>
    <t>da MoU - Proj Def 2021-2025</t>
  </si>
  <si>
    <t>1 extra caps to be "distributed"</t>
  </si>
  <si>
    <t>5 extra cryostats to be "distributed"</t>
  </si>
  <si>
    <t>SWEDEN</t>
  </si>
  <si>
    <t>4 caps</t>
  </si>
  <si>
    <t>1 ATC</t>
  </si>
  <si>
    <t>1,4 ATC</t>
  </si>
  <si>
    <t>SPAIN</t>
  </si>
  <si>
    <t>3 caps</t>
  </si>
  <si>
    <t>1,1 ATC</t>
  </si>
  <si>
    <t xml:space="preserve">D E T E C T O R S </t>
  </si>
  <si>
    <t>da MoU - Proj Def 2021-2030</t>
  </si>
  <si>
    <t>BULGARIA</t>
  </si>
  <si>
    <t>2 caps</t>
  </si>
  <si>
    <t>1? ATC</t>
  </si>
  <si>
    <t>0,7 ATC</t>
  </si>
  <si>
    <t>FINLAND</t>
  </si>
  <si>
    <t>POLAND</t>
  </si>
  <si>
    <t>TURKEY</t>
  </si>
  <si>
    <t>HUNGARY</t>
  </si>
  <si>
    <t># caps</t>
  </si>
  <si>
    <t>unit cost</t>
  </si>
  <si>
    <t>sum detectors</t>
  </si>
  <si>
    <t>cost</t>
  </si>
  <si>
    <t># Detectors</t>
  </si>
  <si>
    <t># detector to be added</t>
  </si>
  <si>
    <t>dal 2020</t>
  </si>
  <si>
    <t>3% discount</t>
  </si>
  <si>
    <t>capsu</t>
  </si>
  <si>
    <t>trasp+ins</t>
  </si>
  <si>
    <t>inflation</t>
  </si>
  <si>
    <t>cryostat</t>
  </si>
  <si>
    <t>Attention, no discountif only 1 ATC</t>
  </si>
  <si>
    <t>needed</t>
  </si>
  <si>
    <t>118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</si>
</sst>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rgb="FF365F9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6"/>
      <color rgb="FF365F91"/>
      <name val="Times New Roman"/>
      <family val="1"/>
    </font>
    <font>
      <b/>
      <sz val="14"/>
      <color rgb="FF365F91"/>
      <name val="Times New Roman"/>
      <family val="1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8"/>
      <color rgb="FF365F9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CB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/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/>
      <top style="thin">
        <color theme="0"/>
      </top>
      <bottom style="thick">
        <color rgb="FFFFFFFF"/>
      </bottom>
      <diagonal/>
    </border>
    <border>
      <left/>
      <right style="medium">
        <color rgb="FFFFFFFF"/>
      </right>
      <top style="thin">
        <color theme="0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rgb="FFFFFFFF"/>
      </top>
      <bottom/>
      <diagonal/>
    </border>
    <border>
      <left/>
      <right style="thin">
        <color theme="0"/>
      </right>
      <top/>
      <bottom style="medium">
        <color rgb="FFFFFF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rgb="FFFFFFFF"/>
      </top>
      <bottom style="thin">
        <color theme="0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FFFFFF"/>
      </bottom>
      <diagonal/>
    </border>
    <border>
      <left/>
      <right style="thin">
        <color theme="0"/>
      </right>
      <top style="thin">
        <color theme="0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399">
    <xf numFmtId="0" fontId="0" fillId="0" borderId="0" xfId="0"/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 readingOrder="1"/>
    </xf>
    <xf numFmtId="1" fontId="5" fillId="4" borderId="4" xfId="0" applyNumberFormat="1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19" xfId="0" applyFont="1" applyFill="1" applyBorder="1" applyAlignment="1">
      <alignment horizontal="left" vertical="center" wrapText="1" readingOrder="1"/>
    </xf>
    <xf numFmtId="0" fontId="2" fillId="2" borderId="20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 readingOrder="1"/>
    </xf>
    <xf numFmtId="0" fontId="2" fillId="2" borderId="23" xfId="0" applyFont="1" applyFill="1" applyBorder="1" applyAlignment="1">
      <alignment horizontal="center" vertical="center" wrapText="1" readingOrder="1"/>
    </xf>
    <xf numFmtId="1" fontId="3" fillId="3" borderId="4" xfId="0" applyNumberFormat="1" applyFont="1" applyFill="1" applyBorder="1" applyAlignment="1">
      <alignment horizontal="center" vertical="top" wrapText="1"/>
    </xf>
    <xf numFmtId="1" fontId="3" fillId="4" borderId="4" xfId="0" applyNumberFormat="1" applyFont="1" applyFill="1" applyBorder="1" applyAlignment="1">
      <alignment horizontal="center" vertical="top" wrapText="1"/>
    </xf>
    <xf numFmtId="9" fontId="0" fillId="0" borderId="0" xfId="0" applyNumberFormat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64" fontId="0" fillId="0" borderId="32" xfId="0" applyNumberFormat="1" applyBorder="1"/>
    <xf numFmtId="164" fontId="0" fillId="0" borderId="0" xfId="0" applyNumberFormat="1"/>
    <xf numFmtId="0" fontId="0" fillId="5" borderId="0" xfId="0" applyFill="1"/>
    <xf numFmtId="0" fontId="2" fillId="2" borderId="35" xfId="0" applyFont="1" applyFill="1" applyBorder="1" applyAlignment="1">
      <alignment horizontal="center" vertical="center" wrapText="1" readingOrder="1"/>
    </xf>
    <xf numFmtId="0" fontId="2" fillId="2" borderId="30" xfId="0" applyFont="1" applyFill="1" applyBorder="1" applyAlignment="1">
      <alignment horizontal="center" vertical="center" wrapText="1" readingOrder="1"/>
    </xf>
    <xf numFmtId="0" fontId="2" fillId="2" borderId="28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vertical="center" wrapText="1" readingOrder="1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vertical="center"/>
    </xf>
    <xf numFmtId="0" fontId="10" fillId="0" borderId="0" xfId="0" applyFont="1"/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" fontId="0" fillId="0" borderId="41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15" fillId="0" borderId="0" xfId="0" applyFont="1"/>
    <xf numFmtId="1" fontId="0" fillId="0" borderId="45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164" fontId="0" fillId="0" borderId="45" xfId="0" applyNumberFormat="1" applyFill="1" applyBorder="1"/>
    <xf numFmtId="164" fontId="0" fillId="0" borderId="32" xfId="0" applyNumberFormat="1" applyFill="1" applyBorder="1"/>
    <xf numFmtId="164" fontId="0" fillId="0" borderId="46" xfId="0" applyNumberFormat="1" applyFill="1" applyBorder="1"/>
    <xf numFmtId="164" fontId="0" fillId="0" borderId="47" xfId="0" applyNumberFormat="1" applyFill="1" applyBorder="1"/>
    <xf numFmtId="0" fontId="9" fillId="0" borderId="50" xfId="0" applyFont="1" applyBorder="1" applyAlignment="1">
      <alignment horizontal="center" vertical="center" wrapText="1"/>
    </xf>
    <xf numFmtId="164" fontId="0" fillId="0" borderId="47" xfId="0" applyNumberFormat="1" applyBorder="1"/>
    <xf numFmtId="0" fontId="9" fillId="0" borderId="50" xfId="0" applyFont="1" applyBorder="1" applyAlignment="1">
      <alignment vertical="center" wrapText="1"/>
    </xf>
    <xf numFmtId="0" fontId="0" fillId="0" borderId="32" xfId="0" applyFill="1" applyBorder="1"/>
    <xf numFmtId="164" fontId="0" fillId="0" borderId="51" xfId="0" applyNumberFormat="1" applyFill="1" applyBorder="1"/>
    <xf numFmtId="164" fontId="0" fillId="0" borderId="52" xfId="0" applyNumberFormat="1" applyFill="1" applyBorder="1"/>
    <xf numFmtId="164" fontId="0" fillId="0" borderId="53" xfId="0" applyNumberFormat="1" applyFill="1" applyBorder="1"/>
    <xf numFmtId="164" fontId="18" fillId="0" borderId="54" xfId="0" applyNumberFormat="1" applyFont="1" applyFill="1" applyBorder="1"/>
    <xf numFmtId="0" fontId="0" fillId="0" borderId="0" xfId="0" applyBorder="1"/>
    <xf numFmtId="0" fontId="0" fillId="6" borderId="0" xfId="0" applyFill="1" applyBorder="1"/>
    <xf numFmtId="0" fontId="0" fillId="7" borderId="0" xfId="0" applyFill="1" applyBorder="1"/>
    <xf numFmtId="164" fontId="0" fillId="0" borderId="0" xfId="0" applyNumberFormat="1" applyBorder="1"/>
    <xf numFmtId="164" fontId="19" fillId="6" borderId="0" xfId="0" applyNumberFormat="1" applyFont="1" applyFill="1" applyBorder="1"/>
    <xf numFmtId="164" fontId="20" fillId="7" borderId="0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4" fontId="16" fillId="0" borderId="0" xfId="0" applyNumberFormat="1" applyFont="1"/>
    <xf numFmtId="0" fontId="21" fillId="0" borderId="0" xfId="0" applyFont="1"/>
    <xf numFmtId="164" fontId="0" fillId="0" borderId="0" xfId="0" applyNumberFormat="1" applyFill="1" applyBorder="1"/>
    <xf numFmtId="164" fontId="18" fillId="0" borderId="0" xfId="0" applyNumberFormat="1" applyFont="1"/>
    <xf numFmtId="164" fontId="18" fillId="0" borderId="0" xfId="0" applyNumberFormat="1" applyFont="1" applyFill="1"/>
    <xf numFmtId="0" fontId="8" fillId="0" borderId="0" xfId="0" applyFont="1"/>
    <xf numFmtId="164" fontId="0" fillId="0" borderId="57" xfId="0" applyNumberFormat="1" applyFill="1" applyBorder="1"/>
    <xf numFmtId="164" fontId="0" fillId="0" borderId="59" xfId="0" applyNumberFormat="1" applyFill="1" applyBorder="1"/>
    <xf numFmtId="0" fontId="9" fillId="0" borderId="4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1" fontId="0" fillId="0" borderId="45" xfId="0" applyNumberFormat="1" applyFill="1" applyBorder="1" applyAlignment="1">
      <alignment horizontal="center" vertical="center"/>
    </xf>
    <xf numFmtId="1" fontId="0" fillId="0" borderId="47" xfId="0" applyNumberFormat="1" applyFill="1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1" fontId="0" fillId="0" borderId="61" xfId="0" applyNumberFormat="1" applyFill="1" applyBorder="1" applyAlignment="1">
      <alignment horizontal="center" vertical="center"/>
    </xf>
    <xf numFmtId="1" fontId="0" fillId="0" borderId="64" xfId="0" applyNumberFormat="1" applyFill="1" applyBorder="1" applyAlignment="1">
      <alignment horizontal="center" vertical="center"/>
    </xf>
    <xf numFmtId="0" fontId="0" fillId="0" borderId="71" xfId="0" applyBorder="1"/>
    <xf numFmtId="0" fontId="0" fillId="0" borderId="72" xfId="0" applyBorder="1"/>
    <xf numFmtId="1" fontId="0" fillId="0" borderId="73" xfId="0" applyNumberFormat="1" applyFill="1" applyBorder="1" applyAlignment="1">
      <alignment horizontal="center" vertical="center"/>
    </xf>
    <xf numFmtId="164" fontId="0" fillId="0" borderId="73" xfId="0" applyNumberFormat="1" applyFill="1" applyBorder="1"/>
    <xf numFmtId="164" fontId="0" fillId="0" borderId="75" xfId="0" applyNumberFormat="1" applyFill="1" applyBorder="1"/>
    <xf numFmtId="164" fontId="0" fillId="0" borderId="76" xfId="0" applyNumberFormat="1" applyFill="1" applyBorder="1"/>
    <xf numFmtId="0" fontId="9" fillId="0" borderId="81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2" fontId="0" fillId="0" borderId="82" xfId="0" applyNumberForma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1" fontId="0" fillId="0" borderId="84" xfId="0" applyNumberFormat="1" applyFill="1" applyBorder="1"/>
    <xf numFmtId="1" fontId="0" fillId="0" borderId="85" xfId="0" applyNumberFormat="1" applyFill="1" applyBorder="1"/>
    <xf numFmtId="0" fontId="9" fillId="0" borderId="33" xfId="0" applyFont="1" applyBorder="1" applyAlignment="1">
      <alignment horizontal="center" vertical="center"/>
    </xf>
    <xf numFmtId="2" fontId="0" fillId="0" borderId="83" xfId="0" applyNumberFormat="1" applyFill="1" applyBorder="1" applyAlignment="1">
      <alignment horizontal="center" vertical="center"/>
    </xf>
    <xf numFmtId="1" fontId="0" fillId="0" borderId="80" xfId="0" applyNumberForma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 readingOrder="1"/>
    </xf>
    <xf numFmtId="1" fontId="5" fillId="8" borderId="4" xfId="0" applyNumberFormat="1" applyFont="1" applyFill="1" applyBorder="1" applyAlignment="1">
      <alignment horizontal="center" vertical="center" wrapText="1" readingOrder="1"/>
    </xf>
    <xf numFmtId="0" fontId="3" fillId="8" borderId="4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 readingOrder="1"/>
    </xf>
    <xf numFmtId="1" fontId="5" fillId="9" borderId="4" xfId="0" applyNumberFormat="1" applyFont="1" applyFill="1" applyBorder="1" applyAlignment="1">
      <alignment horizontal="center" vertical="center" wrapText="1" readingOrder="1"/>
    </xf>
    <xf numFmtId="0" fontId="3" fillId="9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 readingOrder="1"/>
    </xf>
    <xf numFmtId="1" fontId="12" fillId="10" borderId="4" xfId="0" applyNumberFormat="1" applyFont="1" applyFill="1" applyBorder="1" applyAlignment="1">
      <alignment horizontal="center" vertical="center" wrapText="1" readingOrder="1"/>
    </xf>
    <xf numFmtId="164" fontId="12" fillId="10" borderId="4" xfId="0" applyNumberFormat="1" applyFont="1" applyFill="1" applyBorder="1" applyAlignment="1">
      <alignment horizontal="center" vertical="center" wrapText="1" readingOrder="1"/>
    </xf>
    <xf numFmtId="10" fontId="2" fillId="10" borderId="19" xfId="0" applyNumberFormat="1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0" fillId="0" borderId="8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1" fontId="0" fillId="0" borderId="88" xfId="0" applyNumberFormat="1" applyBorder="1" applyAlignment="1">
      <alignment horizontal="center" vertical="center"/>
    </xf>
    <xf numFmtId="1" fontId="24" fillId="10" borderId="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readingOrder="1"/>
    </xf>
    <xf numFmtId="0" fontId="25" fillId="0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5" fillId="3" borderId="22" xfId="0" applyNumberFormat="1" applyFont="1" applyFill="1" applyBorder="1" applyAlignment="1">
      <alignment horizontal="center" vertical="center" wrapText="1" readingOrder="1"/>
    </xf>
    <xf numFmtId="9" fontId="5" fillId="3" borderId="23" xfId="0" applyNumberFormat="1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9" fontId="5" fillId="3" borderId="22" xfId="0" applyNumberFormat="1" applyFont="1" applyFill="1" applyBorder="1" applyAlignment="1">
      <alignment horizontal="center" vertical="center" wrapText="1" readingOrder="1"/>
    </xf>
    <xf numFmtId="9" fontId="5" fillId="3" borderId="23" xfId="0" applyNumberFormat="1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46" fontId="0" fillId="5" borderId="0" xfId="0" applyNumberFormat="1" applyFill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readingOrder="1"/>
    </xf>
    <xf numFmtId="0" fontId="9" fillId="0" borderId="67" xfId="0" applyFont="1" applyBorder="1" applyAlignment="1">
      <alignment horizontal="center" vertical="center" wrapText="1"/>
    </xf>
    <xf numFmtId="1" fontId="0" fillId="0" borderId="44" xfId="0" applyNumberForma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64" xfId="0" applyNumberFormat="1" applyFill="1" applyBorder="1" applyAlignment="1">
      <alignment horizontal="center"/>
    </xf>
    <xf numFmtId="1" fontId="0" fillId="0" borderId="94" xfId="0" applyNumberFormat="1" applyBorder="1" applyAlignment="1">
      <alignment horizontal="center"/>
    </xf>
    <xf numFmtId="164" fontId="0" fillId="0" borderId="64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9" fillId="0" borderId="95" xfId="0" applyFont="1" applyBorder="1" applyAlignment="1">
      <alignment horizontal="center" vertical="center" wrapText="1"/>
    </xf>
    <xf numFmtId="164" fontId="0" fillId="0" borderId="97" xfId="0" applyNumberFormat="1" applyFill="1" applyBorder="1"/>
    <xf numFmtId="164" fontId="0" fillId="0" borderId="101" xfId="0" applyNumberFormat="1" applyFill="1" applyBorder="1"/>
    <xf numFmtId="1" fontId="0" fillId="0" borderId="103" xfId="0" applyNumberFormat="1" applyFill="1" applyBorder="1" applyAlignment="1">
      <alignment horizontal="center" vertical="center"/>
    </xf>
    <xf numFmtId="1" fontId="0" fillId="0" borderId="104" xfId="0" applyNumberFormat="1" applyFill="1" applyBorder="1"/>
    <xf numFmtId="164" fontId="0" fillId="0" borderId="54" xfId="0" applyNumberFormat="1" applyFill="1" applyBorder="1"/>
    <xf numFmtId="164" fontId="0" fillId="0" borderId="58" xfId="0" applyNumberFormat="1" applyFill="1" applyBorder="1"/>
    <xf numFmtId="1" fontId="8" fillId="5" borderId="64" xfId="0" applyNumberFormat="1" applyFont="1" applyFill="1" applyBorder="1" applyAlignment="1">
      <alignment horizontal="center" vertical="center"/>
    </xf>
    <xf numFmtId="1" fontId="8" fillId="5" borderId="63" xfId="0" applyNumberFormat="1" applyFont="1" applyFill="1" applyBorder="1" applyAlignment="1">
      <alignment horizontal="center" vertical="center"/>
    </xf>
    <xf numFmtId="1" fontId="8" fillId="5" borderId="47" xfId="0" applyNumberFormat="1" applyFont="1" applyFill="1" applyBorder="1" applyAlignment="1">
      <alignment horizontal="center" vertical="center"/>
    </xf>
    <xf numFmtId="0" fontId="8" fillId="5" borderId="0" xfId="0" applyFont="1" applyFill="1"/>
    <xf numFmtId="1" fontId="8" fillId="5" borderId="74" xfId="0" applyNumberFormat="1" applyFont="1" applyFill="1" applyBorder="1" applyAlignment="1">
      <alignment horizontal="center" vertical="center"/>
    </xf>
    <xf numFmtId="1" fontId="8" fillId="5" borderId="65" xfId="0" applyNumberFormat="1" applyFont="1" applyFill="1" applyBorder="1" applyAlignment="1">
      <alignment horizontal="center" vertical="center"/>
    </xf>
    <xf numFmtId="1" fontId="8" fillId="5" borderId="97" xfId="0" applyNumberFormat="1" applyFont="1" applyFill="1" applyBorder="1" applyAlignment="1">
      <alignment horizontal="center" vertical="center"/>
    </xf>
    <xf numFmtId="1" fontId="0" fillId="0" borderId="106" xfId="0" applyNumberFormat="1" applyFill="1" applyBorder="1" applyAlignment="1">
      <alignment horizontal="center" vertical="center"/>
    </xf>
    <xf numFmtId="1" fontId="8" fillId="5" borderId="98" xfId="0" applyNumberFormat="1" applyFont="1" applyFill="1" applyBorder="1" applyAlignment="1">
      <alignment horizontal="center" vertical="center"/>
    </xf>
    <xf numFmtId="1" fontId="0" fillId="11" borderId="98" xfId="0" applyNumberFormat="1" applyFill="1" applyBorder="1" applyAlignment="1">
      <alignment horizontal="center" vertical="center"/>
    </xf>
    <xf numFmtId="1" fontId="0" fillId="11" borderId="97" xfId="0" applyNumberFormat="1" applyFill="1" applyBorder="1" applyAlignment="1">
      <alignment horizontal="center" vertical="center"/>
    </xf>
    <xf numFmtId="1" fontId="0" fillId="12" borderId="63" xfId="0" applyNumberFormat="1" applyFill="1" applyBorder="1" applyAlignment="1">
      <alignment horizontal="center" vertical="center"/>
    </xf>
    <xf numFmtId="164" fontId="0" fillId="12" borderId="58" xfId="0" applyNumberFormat="1" applyFill="1" applyBorder="1"/>
    <xf numFmtId="164" fontId="0" fillId="12" borderId="105" xfId="0" applyNumberFormat="1" applyFill="1" applyBorder="1"/>
    <xf numFmtId="0" fontId="9" fillId="12" borderId="39" xfId="0" applyFont="1" applyFill="1" applyBorder="1" applyAlignment="1">
      <alignment horizontal="center" vertical="center" wrapText="1"/>
    </xf>
    <xf numFmtId="1" fontId="0" fillId="12" borderId="47" xfId="0" applyNumberFormat="1" applyFill="1" applyBorder="1" applyAlignment="1">
      <alignment horizontal="center" vertical="center"/>
    </xf>
    <xf numFmtId="1" fontId="0" fillId="12" borderId="54" xfId="0" applyNumberFormat="1" applyFill="1" applyBorder="1" applyAlignment="1">
      <alignment horizontal="center" vertical="center"/>
    </xf>
    <xf numFmtId="1" fontId="0" fillId="12" borderId="6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7" xfId="0" applyNumberFormat="1" applyFill="1" applyBorder="1" applyAlignment="1">
      <alignment horizontal="center" vertical="center"/>
    </xf>
    <xf numFmtId="1" fontId="0" fillId="12" borderId="97" xfId="0" applyNumberFormat="1" applyFill="1" applyBorder="1" applyAlignment="1">
      <alignment horizontal="center" vertical="center"/>
    </xf>
    <xf numFmtId="1" fontId="0" fillId="12" borderId="100" xfId="0" applyNumberFormat="1" applyFill="1" applyBorder="1" applyAlignment="1">
      <alignment horizontal="center" vertical="center"/>
    </xf>
    <xf numFmtId="164" fontId="0" fillId="12" borderId="97" xfId="0" applyNumberFormat="1" applyFill="1" applyBorder="1"/>
    <xf numFmtId="164" fontId="0" fillId="12" borderId="109" xfId="0" applyNumberFormat="1" applyFill="1" applyBorder="1"/>
    <xf numFmtId="1" fontId="8" fillId="5" borderId="110" xfId="0" applyNumberFormat="1" applyFont="1" applyFill="1" applyBorder="1" applyAlignment="1">
      <alignment horizontal="center" vertical="center"/>
    </xf>
    <xf numFmtId="164" fontId="0" fillId="0" borderId="107" xfId="0" applyNumberFormat="1" applyFill="1" applyBorder="1"/>
    <xf numFmtId="1" fontId="8" fillId="5" borderId="70" xfId="0" applyNumberFormat="1" applyFont="1" applyFill="1" applyBorder="1" applyAlignment="1">
      <alignment horizontal="center" vertical="center"/>
    </xf>
    <xf numFmtId="164" fontId="0" fillId="0" borderId="108" xfId="0" applyNumberFormat="1" applyFill="1" applyBorder="1"/>
    <xf numFmtId="0" fontId="9" fillId="12" borderId="5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164" fontId="0" fillId="11" borderId="97" xfId="0" applyNumberFormat="1" applyFill="1" applyBorder="1"/>
    <xf numFmtId="164" fontId="0" fillId="11" borderId="99" xfId="0" applyNumberFormat="1" applyFill="1" applyBorder="1"/>
    <xf numFmtId="1" fontId="0" fillId="11" borderId="100" xfId="0" applyNumberFormat="1" applyFill="1" applyBorder="1" applyAlignment="1">
      <alignment horizontal="center" vertical="center"/>
    </xf>
    <xf numFmtId="164" fontId="0" fillId="11" borderId="101" xfId="0" applyNumberFormat="1" applyFill="1" applyBorder="1"/>
    <xf numFmtId="1" fontId="0" fillId="0" borderId="112" xfId="0" applyNumberFormat="1" applyFill="1" applyBorder="1"/>
    <xf numFmtId="2" fontId="0" fillId="0" borderId="97" xfId="0" applyNumberFormat="1" applyFill="1" applyBorder="1" applyAlignment="1">
      <alignment horizontal="center" vertical="center"/>
    </xf>
    <xf numFmtId="1" fontId="0" fillId="0" borderId="96" xfId="0" applyNumberFormat="1" applyFill="1" applyBorder="1" applyAlignment="1">
      <alignment horizontal="center" vertical="center"/>
    </xf>
    <xf numFmtId="1" fontId="0" fillId="0" borderId="113" xfId="0" applyNumberFormat="1" applyFill="1" applyBorder="1"/>
    <xf numFmtId="2" fontId="0" fillId="0" borderId="114" xfId="0" applyNumberFormat="1" applyFill="1" applyBorder="1" applyAlignment="1">
      <alignment horizontal="center" vertical="center"/>
    </xf>
    <xf numFmtId="2" fontId="0" fillId="0" borderId="115" xfId="0" applyNumberFormat="1" applyFill="1" applyBorder="1" applyAlignment="1">
      <alignment horizontal="center" vertical="center"/>
    </xf>
    <xf numFmtId="1" fontId="0" fillId="0" borderId="44" xfId="0" applyNumberFormat="1" applyFill="1" applyBorder="1"/>
    <xf numFmtId="10" fontId="0" fillId="0" borderId="45" xfId="0" applyNumberFormat="1" applyFill="1" applyBorder="1" applyAlignment="1">
      <alignment horizontal="center" vertical="center"/>
    </xf>
    <xf numFmtId="10" fontId="0" fillId="0" borderId="102" xfId="0" applyNumberFormat="1" applyFill="1" applyBorder="1" applyAlignment="1">
      <alignment horizontal="center" vertical="center"/>
    </xf>
    <xf numFmtId="10" fontId="0" fillId="0" borderId="47" xfId="0" applyNumberFormat="1" applyFill="1" applyBorder="1" applyAlignment="1">
      <alignment horizontal="center" vertical="center"/>
    </xf>
    <xf numFmtId="10" fontId="0" fillId="0" borderId="50" xfId="0" applyNumberFormat="1" applyFill="1" applyBorder="1" applyAlignment="1">
      <alignment horizontal="center" vertical="center"/>
    </xf>
    <xf numFmtId="1" fontId="0" fillId="0" borderId="116" xfId="0" applyNumberFormat="1" applyFill="1" applyBorder="1"/>
    <xf numFmtId="1" fontId="0" fillId="0" borderId="117" xfId="0" applyNumberFormat="1" applyFill="1" applyBorder="1" applyAlignment="1">
      <alignment horizontal="center" vertical="center"/>
    </xf>
    <xf numFmtId="1" fontId="0" fillId="0" borderId="118" xfId="0" applyNumberFormat="1" applyFill="1" applyBorder="1" applyAlignment="1">
      <alignment horizontal="center" vertical="center"/>
    </xf>
    <xf numFmtId="10" fontId="25" fillId="0" borderId="0" xfId="0" applyNumberFormat="1" applyFont="1" applyFill="1" applyAlignment="1">
      <alignment horizontal="center" vertical="center"/>
    </xf>
    <xf numFmtId="1" fontId="0" fillId="0" borderId="20" xfId="0" applyNumberFormat="1" applyFont="1" applyBorder="1" applyAlignment="1">
      <alignment vertical="center"/>
    </xf>
    <xf numFmtId="0" fontId="0" fillId="0" borderId="55" xfId="0" applyBorder="1"/>
    <xf numFmtId="0" fontId="0" fillId="0" borderId="62" xfId="0" applyBorder="1"/>
    <xf numFmtId="164" fontId="0" fillId="0" borderId="120" xfId="0" applyNumberFormat="1" applyFill="1" applyBorder="1"/>
    <xf numFmtId="1" fontId="3" fillId="9" borderId="4" xfId="0" applyNumberFormat="1" applyFont="1" applyFill="1" applyBorder="1" applyAlignment="1">
      <alignment horizontal="center" vertical="center" wrapText="1"/>
    </xf>
    <xf numFmtId="1" fontId="3" fillId="8" borderId="4" xfId="0" applyNumberFormat="1" applyFont="1" applyFill="1" applyBorder="1" applyAlignment="1">
      <alignment horizontal="center" vertical="center" wrapText="1"/>
    </xf>
    <xf numFmtId="1" fontId="0" fillId="0" borderId="90" xfId="0" applyNumberFormat="1" applyBorder="1" applyAlignment="1">
      <alignment horizontal="center" vertical="center"/>
    </xf>
    <xf numFmtId="1" fontId="0" fillId="0" borderId="90" xfId="0" applyNumberForma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81" xfId="0" applyBorder="1"/>
    <xf numFmtId="0" fontId="0" fillId="0" borderId="121" xfId="0" applyBorder="1"/>
    <xf numFmtId="1" fontId="0" fillId="0" borderId="43" xfId="0" applyNumberFormat="1" applyBorder="1" applyAlignment="1">
      <alignment horizontal="center" vertical="center"/>
    </xf>
    <xf numFmtId="0" fontId="0" fillId="0" borderId="49" xfId="0" applyBorder="1"/>
    <xf numFmtId="1" fontId="0" fillId="0" borderId="122" xfId="0" applyNumberFormat="1" applyBorder="1" applyAlignment="1">
      <alignment horizontal="center" vertical="center"/>
    </xf>
    <xf numFmtId="0" fontId="0" fillId="0" borderId="111" xfId="0" applyBorder="1"/>
    <xf numFmtId="0" fontId="0" fillId="0" borderId="123" xfId="0" applyBorder="1"/>
    <xf numFmtId="1" fontId="0" fillId="0" borderId="122" xfId="0" applyNumberFormat="1" applyFill="1" applyBorder="1" applyAlignment="1">
      <alignment horizontal="center"/>
    </xf>
    <xf numFmtId="0" fontId="0" fillId="0" borderId="81" xfId="0" applyFill="1" applyBorder="1"/>
    <xf numFmtId="0" fontId="0" fillId="0" borderId="121" xfId="0" applyFill="1" applyBorder="1"/>
    <xf numFmtId="1" fontId="0" fillId="0" borderId="43" xfId="0" applyNumberFormat="1" applyFill="1" applyBorder="1" applyAlignment="1">
      <alignment horizontal="center" vertical="center"/>
    </xf>
    <xf numFmtId="0" fontId="0" fillId="0" borderId="49" xfId="0" applyFill="1" applyBorder="1"/>
    <xf numFmtId="0" fontId="0" fillId="0" borderId="0" xfId="0" applyFill="1" applyBorder="1"/>
    <xf numFmtId="0" fontId="0" fillId="0" borderId="111" xfId="0" applyFill="1" applyBorder="1"/>
    <xf numFmtId="0" fontId="0" fillId="0" borderId="123" xfId="0" applyFill="1" applyBorder="1"/>
    <xf numFmtId="1" fontId="0" fillId="0" borderId="126" xfId="0" applyNumberFormat="1" applyFill="1" applyBorder="1" applyAlignment="1">
      <alignment horizontal="center"/>
    </xf>
    <xf numFmtId="1" fontId="0" fillId="0" borderId="126" xfId="0" applyNumberFormat="1" applyBorder="1" applyAlignment="1">
      <alignment horizontal="center" vertical="center"/>
    </xf>
    <xf numFmtId="164" fontId="0" fillId="0" borderId="124" xfId="0" applyNumberFormat="1" applyFill="1" applyBorder="1" applyAlignment="1">
      <alignment horizontal="center"/>
    </xf>
    <xf numFmtId="164" fontId="0" fillId="0" borderId="125" xfId="0" applyNumberFormat="1" applyFill="1" applyBorder="1" applyAlignment="1">
      <alignment horizontal="center"/>
    </xf>
    <xf numFmtId="164" fontId="0" fillId="0" borderId="125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64" fontId="0" fillId="0" borderId="53" xfId="0" applyNumberFormat="1" applyFill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12" borderId="81" xfId="0" applyFill="1" applyBorder="1"/>
    <xf numFmtId="0" fontId="0" fillId="12" borderId="121" xfId="0" applyFill="1" applyBorder="1"/>
    <xf numFmtId="1" fontId="0" fillId="12" borderId="42" xfId="0" applyNumberFormat="1" applyFill="1" applyBorder="1" applyAlignment="1">
      <alignment horizontal="center"/>
    </xf>
    <xf numFmtId="1" fontId="0" fillId="12" borderId="43" xfId="0" applyNumberFormat="1" applyFill="1" applyBorder="1" applyAlignment="1">
      <alignment horizontal="center" vertical="center"/>
    </xf>
    <xf numFmtId="0" fontId="0" fillId="12" borderId="49" xfId="0" applyFill="1" applyBorder="1"/>
    <xf numFmtId="0" fontId="0" fillId="12" borderId="0" xfId="0" applyFill="1" applyBorder="1"/>
    <xf numFmtId="1" fontId="0" fillId="12" borderId="90" xfId="0" applyNumberFormat="1" applyFill="1" applyBorder="1" applyAlignment="1">
      <alignment horizontal="center"/>
    </xf>
    <xf numFmtId="0" fontId="0" fillId="15" borderId="81" xfId="0" applyFill="1" applyBorder="1"/>
    <xf numFmtId="0" fontId="0" fillId="15" borderId="121" xfId="0" applyFill="1" applyBorder="1"/>
    <xf numFmtId="1" fontId="0" fillId="15" borderId="42" xfId="0" applyNumberFormat="1" applyFill="1" applyBorder="1" applyAlignment="1">
      <alignment horizontal="center"/>
    </xf>
    <xf numFmtId="1" fontId="0" fillId="15" borderId="43" xfId="0" applyNumberFormat="1" applyFill="1" applyBorder="1" applyAlignment="1">
      <alignment horizontal="center" vertical="center"/>
    </xf>
    <xf numFmtId="0" fontId="0" fillId="15" borderId="49" xfId="0" applyFill="1" applyBorder="1"/>
    <xf numFmtId="0" fontId="0" fillId="15" borderId="0" xfId="0" applyFill="1" applyBorder="1"/>
    <xf numFmtId="1" fontId="0" fillId="15" borderId="90" xfId="0" applyNumberFormat="1" applyFill="1" applyBorder="1" applyAlignment="1">
      <alignment horizontal="center"/>
    </xf>
    <xf numFmtId="1" fontId="0" fillId="15" borderId="46" xfId="0" applyNumberFormat="1" applyFill="1" applyBorder="1" applyAlignment="1">
      <alignment horizontal="center"/>
    </xf>
    <xf numFmtId="1" fontId="0" fillId="15" borderId="46" xfId="0" applyNumberFormat="1" applyFill="1" applyBorder="1" applyAlignment="1">
      <alignment horizontal="center" vertical="center"/>
    </xf>
    <xf numFmtId="1" fontId="0" fillId="12" borderId="122" xfId="0" applyNumberFormat="1" applyFill="1" applyBorder="1" applyAlignment="1">
      <alignment horizontal="center"/>
    </xf>
    <xf numFmtId="164" fontId="0" fillId="12" borderId="32" xfId="0" applyNumberFormat="1" applyFill="1" applyBorder="1"/>
    <xf numFmtId="1" fontId="0" fillId="12" borderId="122" xfId="0" applyNumberFormat="1" applyFill="1" applyBorder="1" applyAlignment="1">
      <alignment horizontal="center" vertical="center"/>
    </xf>
    <xf numFmtId="164" fontId="0" fillId="15" borderId="32" xfId="0" applyNumberFormat="1" applyFill="1" applyBorder="1"/>
    <xf numFmtId="0" fontId="0" fillId="15" borderId="111" xfId="0" applyFont="1" applyFill="1" applyBorder="1"/>
    <xf numFmtId="0" fontId="0" fillId="15" borderId="123" xfId="0" applyFont="1" applyFill="1" applyBorder="1"/>
    <xf numFmtId="164" fontId="0" fillId="15" borderId="124" xfId="0" applyNumberFormat="1" applyFont="1" applyFill="1" applyBorder="1" applyAlignment="1">
      <alignment horizontal="center"/>
    </xf>
    <xf numFmtId="164" fontId="0" fillId="15" borderId="53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12" borderId="111" xfId="0" applyFont="1" applyFill="1" applyBorder="1"/>
    <xf numFmtId="0" fontId="0" fillId="12" borderId="123" xfId="0" applyFont="1" applyFill="1" applyBorder="1"/>
    <xf numFmtId="164" fontId="0" fillId="12" borderId="124" xfId="0" applyNumberFormat="1" applyFont="1" applyFill="1" applyBorder="1" applyAlignment="1">
      <alignment horizontal="center"/>
    </xf>
    <xf numFmtId="164" fontId="0" fillId="12" borderId="125" xfId="0" applyNumberFormat="1" applyFont="1" applyFill="1" applyBorder="1" applyAlignment="1">
      <alignment horizontal="center" vertical="center"/>
    </xf>
    <xf numFmtId="164" fontId="25" fillId="5" borderId="124" xfId="0" applyNumberFormat="1" applyFont="1" applyFill="1" applyBorder="1" applyAlignment="1">
      <alignment horizontal="center"/>
    </xf>
    <xf numFmtId="0" fontId="25" fillId="5" borderId="123" xfId="0" applyFont="1" applyFill="1" applyBorder="1"/>
    <xf numFmtId="1" fontId="8" fillId="12" borderId="63" xfId="0" applyNumberFormat="1" applyFont="1" applyFill="1" applyBorder="1" applyAlignment="1">
      <alignment horizontal="center" vertical="center"/>
    </xf>
    <xf numFmtId="1" fontId="8" fillId="12" borderId="47" xfId="0" applyNumberFormat="1" applyFont="1" applyFill="1" applyBorder="1" applyAlignment="1">
      <alignment horizontal="center" vertical="center"/>
    </xf>
    <xf numFmtId="1" fontId="8" fillId="11" borderId="97" xfId="0" applyNumberFormat="1" applyFont="1" applyFill="1" applyBorder="1" applyAlignment="1">
      <alignment horizontal="center" vertical="center"/>
    </xf>
    <xf numFmtId="1" fontId="8" fillId="12" borderId="97" xfId="0" applyNumberFormat="1" applyFont="1" applyFill="1" applyBorder="1" applyAlignment="1">
      <alignment horizontal="center" vertical="center"/>
    </xf>
    <xf numFmtId="0" fontId="9" fillId="12" borderId="81" xfId="0" applyFont="1" applyFill="1" applyBorder="1" applyAlignment="1">
      <alignment horizontal="center" vertical="center" wrapText="1"/>
    </xf>
    <xf numFmtId="0" fontId="9" fillId="12" borderId="111" xfId="0" applyFont="1" applyFill="1" applyBorder="1" applyAlignment="1">
      <alignment horizontal="center" vertical="center" wrapText="1"/>
    </xf>
    <xf numFmtId="1" fontId="0" fillId="0" borderId="110" xfId="0" applyNumberFormat="1" applyFill="1" applyBorder="1" applyAlignment="1">
      <alignment horizontal="center" vertical="center"/>
    </xf>
    <xf numFmtId="164" fontId="0" fillId="0" borderId="127" xfId="0" applyNumberFormat="1" applyFill="1" applyBorder="1"/>
    <xf numFmtId="1" fontId="0" fillId="0" borderId="128" xfId="0" applyNumberFormat="1" applyFill="1" applyBorder="1" applyAlignment="1">
      <alignment horizontal="center" vertical="center"/>
    </xf>
    <xf numFmtId="1" fontId="0" fillId="14" borderId="131" xfId="0" applyNumberFormat="1" applyFont="1" applyFill="1" applyBorder="1" applyAlignment="1">
      <alignment horizontal="center" vertical="center"/>
    </xf>
    <xf numFmtId="164" fontId="0" fillId="14" borderId="132" xfId="0" applyNumberFormat="1" applyFont="1" applyFill="1" applyBorder="1"/>
    <xf numFmtId="164" fontId="0" fillId="14" borderId="133" xfId="0" applyNumberFormat="1" applyFont="1" applyFill="1" applyBorder="1"/>
    <xf numFmtId="1" fontId="0" fillId="14" borderId="132" xfId="0" applyNumberFormat="1" applyFont="1" applyFill="1" applyBorder="1" applyAlignment="1">
      <alignment horizontal="center" vertical="center"/>
    </xf>
    <xf numFmtId="1" fontId="0" fillId="14" borderId="134" xfId="0" applyNumberFormat="1" applyFont="1" applyFill="1" applyBorder="1" applyAlignment="1">
      <alignment horizontal="center" vertical="center"/>
    </xf>
    <xf numFmtId="0" fontId="0" fillId="14" borderId="44" xfId="0" applyFont="1" applyFill="1" applyBorder="1" applyAlignment="1">
      <alignment horizontal="center"/>
    </xf>
    <xf numFmtId="0" fontId="0" fillId="14" borderId="47" xfId="0" applyFont="1" applyFill="1" applyBorder="1" applyAlignment="1">
      <alignment horizontal="center"/>
    </xf>
    <xf numFmtId="0" fontId="0" fillId="14" borderId="54" xfId="0" applyFont="1" applyFill="1" applyBorder="1" applyAlignment="1">
      <alignment horizontal="center"/>
    </xf>
    <xf numFmtId="1" fontId="0" fillId="5" borderId="47" xfId="0" applyNumberFormat="1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right" vertical="center"/>
    </xf>
    <xf numFmtId="0" fontId="9" fillId="0" borderId="49" xfId="0" applyFont="1" applyBorder="1" applyAlignment="1">
      <alignment horizontal="right" vertical="center" wrapText="1"/>
    </xf>
    <xf numFmtId="0" fontId="9" fillId="0" borderId="111" xfId="0" applyFont="1" applyBorder="1" applyAlignment="1">
      <alignment horizontal="right" vertical="center" wrapText="1"/>
    </xf>
    <xf numFmtId="0" fontId="13" fillId="5" borderId="69" xfId="0" applyFont="1" applyFill="1" applyBorder="1" applyAlignment="1">
      <alignment horizontal="right" vertical="center"/>
    </xf>
    <xf numFmtId="0" fontId="9" fillId="0" borderId="69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12" borderId="62" xfId="0" applyFill="1" applyBorder="1"/>
    <xf numFmtId="1" fontId="0" fillId="12" borderId="131" xfId="0" applyNumberFormat="1" applyFont="1" applyFill="1" applyBorder="1" applyAlignment="1">
      <alignment horizontal="center" vertical="center"/>
    </xf>
    <xf numFmtId="1" fontId="8" fillId="12" borderId="107" xfId="0" applyNumberFormat="1" applyFont="1" applyFill="1" applyBorder="1" applyAlignment="1">
      <alignment horizontal="center" vertical="center"/>
    </xf>
    <xf numFmtId="0" fontId="0" fillId="12" borderId="47" xfId="0" applyFont="1" applyFill="1" applyBorder="1" applyAlignment="1">
      <alignment horizontal="center"/>
    </xf>
    <xf numFmtId="0" fontId="0" fillId="12" borderId="0" xfId="0" applyFill="1"/>
    <xf numFmtId="1" fontId="0" fillId="12" borderId="107" xfId="0" applyNumberFormat="1" applyFill="1" applyBorder="1" applyAlignment="1">
      <alignment horizontal="center" vertical="center"/>
    </xf>
    <xf numFmtId="0" fontId="0" fillId="12" borderId="72" xfId="0" applyFill="1" applyBorder="1"/>
    <xf numFmtId="1" fontId="8" fillId="12" borderId="73" xfId="0" applyNumberFormat="1" applyFont="1" applyFill="1" applyBorder="1" applyAlignment="1">
      <alignment horizontal="center" vertical="center"/>
    </xf>
    <xf numFmtId="1" fontId="0" fillId="12" borderId="73" xfId="0" applyNumberFormat="1" applyFill="1" applyBorder="1" applyAlignment="1">
      <alignment horizontal="center" vertical="center"/>
    </xf>
    <xf numFmtId="1" fontId="0" fillId="12" borderId="132" xfId="0" applyNumberFormat="1" applyFont="1" applyFill="1" applyBorder="1" applyAlignment="1">
      <alignment horizontal="center" vertical="center"/>
    </xf>
    <xf numFmtId="1" fontId="0" fillId="12" borderId="57" xfId="0" applyNumberFormat="1" applyFill="1" applyBorder="1" applyAlignment="1">
      <alignment horizontal="center" vertical="center"/>
    </xf>
    <xf numFmtId="1" fontId="0" fillId="12" borderId="106" xfId="0" applyNumberFormat="1" applyFill="1" applyBorder="1" applyAlignment="1">
      <alignment horizontal="center" vertical="center"/>
    </xf>
    <xf numFmtId="1" fontId="8" fillId="12" borderId="60" xfId="0" applyNumberFormat="1" applyFont="1" applyFill="1" applyBorder="1" applyAlignment="1">
      <alignment horizontal="center" vertical="center"/>
    </xf>
    <xf numFmtId="1" fontId="0" fillId="12" borderId="60" xfId="0" applyNumberForma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 wrapText="1" readingOrder="1"/>
    </xf>
    <xf numFmtId="164" fontId="16" fillId="0" borderId="4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textRotation="90"/>
    </xf>
    <xf numFmtId="0" fontId="23" fillId="0" borderId="40" xfId="0" applyFont="1" applyBorder="1" applyAlignment="1">
      <alignment horizontal="center" vertical="center" textRotation="90"/>
    </xf>
    <xf numFmtId="0" fontId="23" fillId="0" borderId="50" xfId="0" applyFont="1" applyBorder="1" applyAlignment="1">
      <alignment horizontal="center" vertical="center" textRotation="90"/>
    </xf>
    <xf numFmtId="0" fontId="23" fillId="0" borderId="67" xfId="0" applyFont="1" applyBorder="1" applyAlignment="1">
      <alignment horizontal="center" vertical="center" textRotation="90"/>
    </xf>
    <xf numFmtId="0" fontId="23" fillId="0" borderId="68" xfId="0" applyFont="1" applyBorder="1" applyAlignment="1">
      <alignment horizontal="center" vertical="center" textRotation="90"/>
    </xf>
    <xf numFmtId="0" fontId="14" fillId="0" borderId="78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textRotation="90"/>
    </xf>
    <xf numFmtId="0" fontId="0" fillId="14" borderId="129" xfId="0" applyFont="1" applyFill="1" applyBorder="1" applyAlignment="1">
      <alignment horizontal="center" wrapText="1"/>
    </xf>
    <xf numFmtId="0" fontId="0" fillId="14" borderId="130" xfId="0" applyFont="1" applyFill="1" applyBorder="1" applyAlignment="1">
      <alignment horizontal="center" wrapText="1"/>
    </xf>
    <xf numFmtId="0" fontId="25" fillId="13" borderId="55" xfId="0" applyFont="1" applyFill="1" applyBorder="1" applyAlignment="1">
      <alignment horizontal="center" vertical="center" wrapText="1"/>
    </xf>
    <xf numFmtId="0" fontId="25" fillId="13" borderId="56" xfId="0" applyFont="1" applyFill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center" wrapText="1"/>
    </xf>
    <xf numFmtId="0" fontId="14" fillId="11" borderId="81" xfId="0" applyFont="1" applyFill="1" applyBorder="1" applyAlignment="1">
      <alignment horizontal="center" vertical="center" wrapText="1"/>
    </xf>
    <xf numFmtId="0" fontId="14" fillId="11" borderId="111" xfId="0" applyFont="1" applyFill="1" applyBorder="1" applyAlignment="1">
      <alignment horizontal="center" vertical="center" wrapText="1"/>
    </xf>
    <xf numFmtId="0" fontId="0" fillId="14" borderId="39" xfId="0" applyFont="1" applyFill="1" applyBorder="1" applyAlignment="1">
      <alignment horizontal="center" vertical="center" wrapText="1"/>
    </xf>
    <xf numFmtId="0" fontId="0" fillId="14" borderId="4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 wrapText="1" readingOrder="1"/>
    </xf>
    <xf numFmtId="0" fontId="2" fillId="2" borderId="34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top" wrapText="1" readingOrder="1"/>
    </xf>
    <xf numFmtId="0" fontId="2" fillId="2" borderId="31" xfId="0" applyFont="1" applyFill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37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left" vertical="center"/>
    </xf>
    <xf numFmtId="0" fontId="26" fillId="4" borderId="5" xfId="0" applyFont="1" applyFill="1" applyBorder="1" applyAlignment="1">
      <alignment horizontal="center" vertical="center" wrapText="1" readingOrder="1"/>
    </xf>
    <xf numFmtId="0" fontId="26" fillId="4" borderId="6" xfId="0" applyFont="1" applyFill="1" applyBorder="1" applyAlignment="1">
      <alignment horizontal="center" vertical="center" wrapText="1" readingOrder="1"/>
    </xf>
    <xf numFmtId="0" fontId="26" fillId="4" borderId="15" xfId="0" applyFont="1" applyFill="1" applyBorder="1" applyAlignment="1">
      <alignment horizontal="center" vertical="center" wrapText="1" readingOrder="1"/>
    </xf>
    <xf numFmtId="0" fontId="26" fillId="4" borderId="16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9" fontId="5" fillId="3" borderId="7" xfId="0" applyNumberFormat="1" applyFont="1" applyFill="1" applyBorder="1" applyAlignment="1">
      <alignment horizontal="center" vertical="center" wrapText="1" readingOrder="1"/>
    </xf>
    <xf numFmtId="9" fontId="5" fillId="3" borderId="24" xfId="0" applyNumberFormat="1" applyFont="1" applyFill="1" applyBorder="1" applyAlignment="1">
      <alignment horizontal="center" vertical="center" wrapText="1" readingOrder="1"/>
    </xf>
    <xf numFmtId="9" fontId="5" fillId="3" borderId="9" xfId="0" applyNumberFormat="1" applyFont="1" applyFill="1" applyBorder="1" applyAlignment="1">
      <alignment horizontal="center" vertical="center" wrapText="1" readingOrder="1"/>
    </xf>
    <xf numFmtId="9" fontId="5" fillId="3" borderId="25" xfId="0" applyNumberFormat="1" applyFont="1" applyFill="1" applyBorder="1" applyAlignment="1">
      <alignment horizontal="center" vertical="center" wrapText="1" readingOrder="1"/>
    </xf>
    <xf numFmtId="9" fontId="5" fillId="3" borderId="27" xfId="0" applyNumberFormat="1" applyFont="1" applyFill="1" applyBorder="1" applyAlignment="1">
      <alignment horizontal="center" vertical="center" wrapText="1" readingOrder="1"/>
    </xf>
    <xf numFmtId="9" fontId="5" fillId="3" borderId="28" xfId="0" applyNumberFormat="1" applyFont="1" applyFill="1" applyBorder="1" applyAlignment="1">
      <alignment horizontal="center" vertical="center" wrapText="1" readingOrder="1"/>
    </xf>
    <xf numFmtId="9" fontId="5" fillId="3" borderId="29" xfId="0" applyNumberFormat="1" applyFont="1" applyFill="1" applyBorder="1" applyAlignment="1">
      <alignment horizontal="center" vertical="center" wrapText="1" readingOrder="1"/>
    </xf>
    <xf numFmtId="9" fontId="5" fillId="3" borderId="30" xfId="0" applyNumberFormat="1" applyFont="1" applyFill="1" applyBorder="1" applyAlignment="1">
      <alignment horizontal="center" vertical="center" wrapText="1" readingOrder="1"/>
    </xf>
    <xf numFmtId="9" fontId="5" fillId="3" borderId="13" xfId="0" applyNumberFormat="1" applyFont="1" applyFill="1" applyBorder="1" applyAlignment="1">
      <alignment horizontal="center" vertical="center" wrapText="1" readingOrder="1"/>
    </xf>
    <xf numFmtId="9" fontId="5" fillId="3" borderId="35" xfId="0" applyNumberFormat="1" applyFont="1" applyFill="1" applyBorder="1" applyAlignment="1">
      <alignment horizontal="center" vertical="center" wrapText="1" readingOrder="1"/>
    </xf>
    <xf numFmtId="9" fontId="5" fillId="3" borderId="21" xfId="0" applyNumberFormat="1" applyFont="1" applyFill="1" applyBorder="1" applyAlignment="1">
      <alignment horizontal="center" vertical="center" wrapText="1" readingOrder="1"/>
    </xf>
    <xf numFmtId="9" fontId="5" fillId="3" borderId="36" xfId="0" applyNumberFormat="1" applyFont="1" applyFill="1" applyBorder="1" applyAlignment="1">
      <alignment horizontal="center" vertical="center" wrapText="1" readingOrder="1"/>
    </xf>
    <xf numFmtId="9" fontId="5" fillId="3" borderId="22" xfId="0" applyNumberFormat="1" applyFont="1" applyFill="1" applyBorder="1" applyAlignment="1">
      <alignment horizontal="center" vertical="center" wrapText="1" readingOrder="1"/>
    </xf>
    <xf numFmtId="9" fontId="5" fillId="3" borderId="23" xfId="0" applyNumberFormat="1" applyFont="1" applyFill="1" applyBorder="1" applyAlignment="1">
      <alignment horizontal="center" vertical="center" wrapText="1" readingOrder="1"/>
    </xf>
    <xf numFmtId="0" fontId="0" fillId="0" borderId="8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0" fontId="5" fillId="4" borderId="15" xfId="0" applyFont="1" applyFill="1" applyBorder="1" applyAlignment="1">
      <alignment horizontal="center" vertical="center" wrapText="1" readingOrder="1"/>
    </xf>
    <xf numFmtId="0" fontId="5" fillId="4" borderId="16" xfId="0" applyFont="1" applyFill="1" applyBorder="1" applyAlignment="1">
      <alignment horizontal="center" vertical="center" wrapText="1" readingOrder="1"/>
    </xf>
    <xf numFmtId="0" fontId="2" fillId="2" borderId="92" xfId="0" applyFont="1" applyFill="1" applyBorder="1" applyAlignment="1">
      <alignment horizontal="center" vertical="center" wrapText="1" readingOrder="1"/>
    </xf>
    <xf numFmtId="0" fontId="2" fillId="2" borderId="93" xfId="0" applyFont="1" applyFill="1" applyBorder="1" applyAlignment="1">
      <alignment horizontal="center" vertical="center" wrapText="1" readingOrder="1"/>
    </xf>
    <xf numFmtId="0" fontId="2" fillId="2" borderId="91" xfId="0" applyFont="1" applyFill="1" applyBorder="1" applyAlignment="1">
      <alignment horizontal="center" vertical="center" wrapText="1" readingOrder="1"/>
    </xf>
    <xf numFmtId="1" fontId="0" fillId="0" borderId="2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BF5"/>
      <color rgb="FFCFD5EA"/>
      <color rgb="FF365F91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2E17-25D8-6B40-8191-12280CE5599A}">
  <dimension ref="A1:Q81"/>
  <sheetViews>
    <sheetView workbookViewId="0">
      <selection activeCell="C46" sqref="C46"/>
    </sheetView>
  </sheetViews>
  <sheetFormatPr baseColWidth="10" defaultColWidth="8.83203125" defaultRowHeight="16" x14ac:dyDescent="0.2"/>
  <cols>
    <col min="1" max="1" width="14.1640625" customWidth="1"/>
  </cols>
  <sheetData>
    <row r="1" spans="1:17" ht="21" thickBot="1" x14ac:dyDescent="0.25">
      <c r="A1" s="38" t="s">
        <v>55</v>
      </c>
    </row>
    <row r="2" spans="1:17" ht="15.25" customHeight="1" thickBot="1" x14ac:dyDescent="0.25">
      <c r="C2" s="40">
        <v>2021</v>
      </c>
      <c r="D2" s="72">
        <v>2022</v>
      </c>
      <c r="E2" s="72">
        <v>2023</v>
      </c>
      <c r="F2" s="72">
        <v>2024</v>
      </c>
      <c r="G2" s="72">
        <v>2025</v>
      </c>
      <c r="H2" s="72">
        <v>2026</v>
      </c>
      <c r="I2" s="72">
        <v>2027</v>
      </c>
      <c r="J2" s="72">
        <v>2028</v>
      </c>
      <c r="K2" s="72">
        <v>2029</v>
      </c>
      <c r="L2" s="72">
        <v>2030</v>
      </c>
      <c r="M2" s="328" t="s">
        <v>17</v>
      </c>
      <c r="P2" s="72">
        <v>2025</v>
      </c>
    </row>
    <row r="3" spans="1:17" ht="15.25" customHeight="1" thickBot="1" x14ac:dyDescent="0.25">
      <c r="C3" s="56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329"/>
      <c r="N3" s="29"/>
      <c r="P3" s="72" t="s">
        <v>17</v>
      </c>
    </row>
    <row r="4" spans="1:17" x14ac:dyDescent="0.2">
      <c r="A4" t="s">
        <v>33</v>
      </c>
      <c r="C4" s="74">
        <v>7</v>
      </c>
      <c r="D4" s="74">
        <v>8</v>
      </c>
      <c r="E4" s="74">
        <v>8</v>
      </c>
      <c r="F4" s="74">
        <v>8</v>
      </c>
      <c r="G4" s="74">
        <v>8</v>
      </c>
      <c r="H4" s="74">
        <v>8</v>
      </c>
      <c r="I4" s="74">
        <v>7</v>
      </c>
      <c r="J4" s="75">
        <v>8</v>
      </c>
      <c r="K4" s="75">
        <v>8</v>
      </c>
      <c r="L4" s="75">
        <v>8</v>
      </c>
      <c r="M4" s="75">
        <f>SUM(C4:L4)</f>
        <v>78</v>
      </c>
      <c r="N4" s="46" t="s">
        <v>34</v>
      </c>
      <c r="P4" s="76">
        <f>SUM(C4:G4)</f>
        <v>39</v>
      </c>
      <c r="Q4" s="76"/>
    </row>
    <row r="5" spans="1:17" ht="17" thickBot="1" x14ac:dyDescent="0.25">
      <c r="A5" t="s">
        <v>21</v>
      </c>
      <c r="C5" s="74">
        <v>2</v>
      </c>
      <c r="D5" s="74">
        <v>2</v>
      </c>
      <c r="E5" s="74">
        <v>3</v>
      </c>
      <c r="F5" s="74">
        <v>2</v>
      </c>
      <c r="G5" s="74">
        <v>2</v>
      </c>
      <c r="H5" s="74">
        <v>3</v>
      </c>
      <c r="I5" s="74">
        <v>3</v>
      </c>
      <c r="J5" s="75">
        <v>3</v>
      </c>
      <c r="K5" s="75">
        <v>3</v>
      </c>
      <c r="L5" s="75">
        <v>3</v>
      </c>
      <c r="M5" s="75">
        <f>SUM(C5:L5)</f>
        <v>26</v>
      </c>
      <c r="N5" s="46" t="s">
        <v>35</v>
      </c>
      <c r="P5" s="76">
        <f>SUM(C5:G5)</f>
        <v>11</v>
      </c>
    </row>
    <row r="6" spans="1:17" ht="18" thickBot="1" x14ac:dyDescent="0.25">
      <c r="A6" s="51" t="s">
        <v>36</v>
      </c>
      <c r="C6" s="71">
        <f>C4*(206.5+1.6)</f>
        <v>1456.7</v>
      </c>
      <c r="D6" s="71">
        <f t="shared" ref="D6:L6" si="0">D4*(206.5+1.6)</f>
        <v>1664.8</v>
      </c>
      <c r="E6" s="71">
        <f t="shared" si="0"/>
        <v>1664.8</v>
      </c>
      <c r="F6" s="71">
        <f t="shared" si="0"/>
        <v>1664.8</v>
      </c>
      <c r="G6" s="71">
        <f t="shared" si="0"/>
        <v>1664.8</v>
      </c>
      <c r="H6" s="71">
        <f t="shared" si="0"/>
        <v>1664.8</v>
      </c>
      <c r="I6" s="71">
        <f t="shared" si="0"/>
        <v>1456.7</v>
      </c>
      <c r="J6" s="29">
        <f t="shared" si="0"/>
        <v>1664.8</v>
      </c>
      <c r="K6" s="29">
        <f t="shared" si="0"/>
        <v>1664.8</v>
      </c>
      <c r="L6" s="29">
        <f t="shared" si="0"/>
        <v>1664.8</v>
      </c>
      <c r="M6" s="29">
        <f t="shared" ref="M6:M15" si="1">SUM(C6:L6)</f>
        <v>16231.8</v>
      </c>
    </row>
    <row r="7" spans="1:17" ht="18" thickBot="1" x14ac:dyDescent="0.25">
      <c r="A7" s="56" t="s">
        <v>38</v>
      </c>
      <c r="C7" s="71">
        <f>C5*115</f>
        <v>230</v>
      </c>
      <c r="D7" s="71">
        <f t="shared" ref="D7:L7" si="2">D5*115</f>
        <v>230</v>
      </c>
      <c r="E7" s="71">
        <f>E5*115</f>
        <v>345</v>
      </c>
      <c r="F7" s="71">
        <f t="shared" si="2"/>
        <v>230</v>
      </c>
      <c r="G7" s="71">
        <f t="shared" si="2"/>
        <v>230</v>
      </c>
      <c r="H7" s="71">
        <f t="shared" si="2"/>
        <v>345</v>
      </c>
      <c r="I7" s="71">
        <f t="shared" si="2"/>
        <v>345</v>
      </c>
      <c r="J7" s="29">
        <f t="shared" si="2"/>
        <v>345</v>
      </c>
      <c r="K7" s="29">
        <f t="shared" si="2"/>
        <v>345</v>
      </c>
      <c r="L7" s="29">
        <f t="shared" si="2"/>
        <v>345</v>
      </c>
      <c r="M7" s="29">
        <f>SUM(C7:L7)</f>
        <v>2990</v>
      </c>
      <c r="N7" s="77">
        <f>SUM(M6:M7)</f>
        <v>19221.8</v>
      </c>
      <c r="O7" s="78" t="s">
        <v>56</v>
      </c>
    </row>
    <row r="8" spans="1:17" ht="18" thickBot="1" x14ac:dyDescent="0.25">
      <c r="A8" s="58" t="s">
        <v>20</v>
      </c>
      <c r="C8" s="53">
        <v>0</v>
      </c>
      <c r="D8" s="53">
        <f>335.7</f>
        <v>335.7</v>
      </c>
      <c r="E8" s="53">
        <v>0</v>
      </c>
      <c r="F8" s="53">
        <v>0</v>
      </c>
      <c r="G8" s="53">
        <f>16.8*3</f>
        <v>50.400000000000006</v>
      </c>
      <c r="H8" s="53">
        <v>252.1</v>
      </c>
      <c r="I8" s="53">
        <v>335.7</v>
      </c>
      <c r="J8" s="28">
        <v>0</v>
      </c>
      <c r="K8" s="28">
        <v>335.7</v>
      </c>
      <c r="L8" s="28">
        <v>0</v>
      </c>
      <c r="M8" s="71">
        <f t="shared" si="1"/>
        <v>1309.6000000000001</v>
      </c>
      <c r="N8" s="79">
        <f>M8/16.8</f>
        <v>77.952380952380963</v>
      </c>
    </row>
    <row r="9" spans="1:17" ht="35" thickBot="1" x14ac:dyDescent="0.25">
      <c r="A9" s="58" t="s">
        <v>39</v>
      </c>
      <c r="C9" s="29">
        <f>20*16.784</f>
        <v>335.67999999999995</v>
      </c>
      <c r="D9" s="29">
        <v>0</v>
      </c>
      <c r="E9" s="29">
        <f>335.7+83.9</f>
        <v>419.6</v>
      </c>
      <c r="F9" s="29">
        <v>0</v>
      </c>
      <c r="G9" s="29">
        <v>0</v>
      </c>
      <c r="H9" s="79">
        <v>0</v>
      </c>
      <c r="I9" s="29">
        <v>0</v>
      </c>
      <c r="J9" s="29">
        <v>0</v>
      </c>
      <c r="K9" s="29">
        <v>0</v>
      </c>
      <c r="L9" s="29">
        <v>0</v>
      </c>
      <c r="M9" s="29">
        <f t="shared" si="1"/>
        <v>755.28</v>
      </c>
      <c r="P9" s="29"/>
    </row>
    <row r="10" spans="1:17" ht="18" thickBot="1" x14ac:dyDescent="0.25">
      <c r="A10" s="56" t="s">
        <v>40</v>
      </c>
      <c r="C10" s="29">
        <v>0</v>
      </c>
      <c r="D10">
        <v>0</v>
      </c>
      <c r="E10" s="29">
        <v>100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f t="shared" si="1"/>
        <v>100</v>
      </c>
      <c r="N10" s="29"/>
    </row>
    <row r="11" spans="1:17" ht="18" thickBot="1" x14ac:dyDescent="0.25">
      <c r="A11" s="56" t="s">
        <v>41</v>
      </c>
      <c r="C11" s="28">
        <v>0</v>
      </c>
      <c r="D11" s="28">
        <f>88+21*3</f>
        <v>151</v>
      </c>
      <c r="E11" s="28">
        <v>0</v>
      </c>
      <c r="F11" s="28">
        <v>264</v>
      </c>
      <c r="G11" s="28">
        <f>F4*6</f>
        <v>48</v>
      </c>
      <c r="H11" s="28">
        <f>(G4)*6</f>
        <v>48</v>
      </c>
      <c r="I11" s="28">
        <f>86+H4*6</f>
        <v>134</v>
      </c>
      <c r="J11" s="28">
        <f>I4*6</f>
        <v>42</v>
      </c>
      <c r="K11" s="28">
        <f t="shared" ref="K11" si="3">J4*6</f>
        <v>48</v>
      </c>
      <c r="L11" s="28">
        <f>(K4+L4)*6</f>
        <v>96</v>
      </c>
      <c r="M11" s="29">
        <f t="shared" si="1"/>
        <v>831</v>
      </c>
      <c r="P11" s="29"/>
    </row>
    <row r="12" spans="1:17" ht="18" thickBot="1" x14ac:dyDescent="0.25">
      <c r="A12" s="56" t="s">
        <v>42</v>
      </c>
      <c r="C12" s="29">
        <v>0</v>
      </c>
      <c r="D12" s="29">
        <v>112.5</v>
      </c>
      <c r="E12" s="29">
        <v>0</v>
      </c>
      <c r="F12" s="29">
        <v>0</v>
      </c>
      <c r="G12" s="29">
        <v>0</v>
      </c>
      <c r="H12" s="29">
        <v>112.5</v>
      </c>
      <c r="I12" s="29">
        <v>0</v>
      </c>
      <c r="J12" s="29">
        <v>0</v>
      </c>
      <c r="K12" s="29">
        <v>0</v>
      </c>
      <c r="L12" s="29">
        <v>0</v>
      </c>
      <c r="M12" s="29">
        <f t="shared" si="1"/>
        <v>225</v>
      </c>
      <c r="P12" s="29"/>
    </row>
    <row r="13" spans="1:17" ht="18" thickBot="1" x14ac:dyDescent="0.25">
      <c r="A13" s="56" t="s">
        <v>43</v>
      </c>
      <c r="C13" s="29">
        <v>0</v>
      </c>
      <c r="D13" s="29">
        <v>10</v>
      </c>
      <c r="E13" s="29">
        <v>0</v>
      </c>
      <c r="F13" s="29">
        <v>0</v>
      </c>
      <c r="G13" s="29">
        <v>0</v>
      </c>
      <c r="H13" s="29">
        <v>10</v>
      </c>
      <c r="I13" s="29">
        <v>0</v>
      </c>
      <c r="J13" s="29">
        <v>0</v>
      </c>
      <c r="K13" s="29">
        <v>0</v>
      </c>
      <c r="L13" s="29">
        <v>10</v>
      </c>
      <c r="M13" s="29">
        <f t="shared" si="1"/>
        <v>30</v>
      </c>
    </row>
    <row r="14" spans="1:17" ht="18" thickBot="1" x14ac:dyDescent="0.25">
      <c r="A14" s="56" t="s">
        <v>15</v>
      </c>
      <c r="C14" s="53">
        <v>447.5</v>
      </c>
      <c r="D14" s="28">
        <v>0</v>
      </c>
      <c r="E14" s="28">
        <v>0</v>
      </c>
      <c r="F14" s="53">
        <v>247.5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1"/>
        <v>695</v>
      </c>
    </row>
    <row r="15" spans="1:17" ht="18" thickBot="1" x14ac:dyDescent="0.25">
      <c r="A15" s="56" t="s">
        <v>16</v>
      </c>
      <c r="C15" s="53">
        <v>164.8</v>
      </c>
      <c r="D15" s="53">
        <v>0</v>
      </c>
      <c r="E15" s="53">
        <v>0</v>
      </c>
      <c r="F15" s="53">
        <f>74.4+E5*5</f>
        <v>89.4</v>
      </c>
      <c r="G15" s="28">
        <f>F5*5</f>
        <v>10</v>
      </c>
      <c r="H15" s="28">
        <f>G5*5</f>
        <v>10</v>
      </c>
      <c r="I15" s="28">
        <f>H5*5</f>
        <v>15</v>
      </c>
      <c r="J15" s="28">
        <f t="shared" ref="J15:K15" si="4">I5*5</f>
        <v>15</v>
      </c>
      <c r="K15" s="28">
        <f t="shared" si="4"/>
        <v>15</v>
      </c>
      <c r="L15" s="28">
        <v>0</v>
      </c>
      <c r="M15" s="29">
        <f t="shared" si="1"/>
        <v>319.20000000000005</v>
      </c>
    </row>
    <row r="16" spans="1:17" ht="18" thickBot="1" x14ac:dyDescent="0.25">
      <c r="A16" s="56" t="s">
        <v>17</v>
      </c>
      <c r="C16" s="29">
        <f>SUM(C6:C15)</f>
        <v>2634.6800000000003</v>
      </c>
      <c r="D16" s="29">
        <f t="shared" ref="D16:L16" si="5">SUM(D6:D15)</f>
        <v>2504</v>
      </c>
      <c r="E16" s="29">
        <f t="shared" si="5"/>
        <v>2529.4</v>
      </c>
      <c r="F16" s="29">
        <f t="shared" si="5"/>
        <v>2495.7000000000003</v>
      </c>
      <c r="G16" s="29">
        <f t="shared" si="5"/>
        <v>2003.2</v>
      </c>
      <c r="H16" s="29">
        <f t="shared" si="5"/>
        <v>2442.4</v>
      </c>
      <c r="I16" s="29">
        <f t="shared" si="5"/>
        <v>2286.4</v>
      </c>
      <c r="J16" s="29">
        <f t="shared" si="5"/>
        <v>2066.8000000000002</v>
      </c>
      <c r="K16" s="29">
        <f t="shared" si="5"/>
        <v>2408.5</v>
      </c>
      <c r="L16" s="29">
        <f t="shared" si="5"/>
        <v>2115.8000000000002</v>
      </c>
      <c r="M16" s="80">
        <f>SUM(M6:M15)</f>
        <v>23486.879999999997</v>
      </c>
      <c r="N16" s="29"/>
    </row>
    <row r="18" spans="1:17" hidden="1" x14ac:dyDescent="0.2">
      <c r="C18" s="29"/>
      <c r="D18" s="29"/>
      <c r="E18" s="29"/>
      <c r="G18" s="29"/>
      <c r="H18" s="29"/>
      <c r="I18" s="29"/>
      <c r="K18" s="29"/>
      <c r="P18" s="29"/>
      <c r="Q18" s="29"/>
    </row>
    <row r="19" spans="1:17" hidden="1" x14ac:dyDescent="0.2"/>
    <row r="20" spans="1:17" hidden="1" x14ac:dyDescent="0.2"/>
    <row r="21" spans="1:17" ht="20" hidden="1" x14ac:dyDescent="0.2">
      <c r="A21" s="38" t="s">
        <v>57</v>
      </c>
    </row>
    <row r="22" spans="1:17" hidden="1" x14ac:dyDescent="0.2">
      <c r="A22" s="39" t="s">
        <v>32</v>
      </c>
      <c r="C22" s="40">
        <f>C$2</f>
        <v>2021</v>
      </c>
      <c r="D22" s="40">
        <f t="shared" ref="D22:L22" si="6">D$2</f>
        <v>2022</v>
      </c>
      <c r="E22" s="40">
        <f t="shared" si="6"/>
        <v>2023</v>
      </c>
      <c r="F22" s="40">
        <f t="shared" si="6"/>
        <v>2024</v>
      </c>
      <c r="G22" s="40">
        <f t="shared" si="6"/>
        <v>2025</v>
      </c>
      <c r="H22" s="40">
        <f t="shared" si="6"/>
        <v>2026</v>
      </c>
      <c r="I22" s="40">
        <f t="shared" si="6"/>
        <v>2027</v>
      </c>
      <c r="J22" s="40">
        <f t="shared" si="6"/>
        <v>2028</v>
      </c>
      <c r="K22" s="40">
        <f t="shared" si="6"/>
        <v>2029</v>
      </c>
      <c r="L22" s="40">
        <f t="shared" si="6"/>
        <v>2030</v>
      </c>
      <c r="M22" s="328" t="s">
        <v>17</v>
      </c>
    </row>
    <row r="23" spans="1:17" ht="18" hidden="1" thickBot="1" x14ac:dyDescent="0.25">
      <c r="C23" s="56" t="str">
        <f>C$3</f>
        <v>64/21</v>
      </c>
      <c r="D23" s="56" t="str">
        <f t="shared" ref="D23:L23" si="7">D$3</f>
        <v>72/24</v>
      </c>
      <c r="E23" s="56" t="str">
        <f t="shared" si="7"/>
        <v>80/26</v>
      </c>
      <c r="F23" s="56" t="str">
        <f t="shared" si="7"/>
        <v>88/29</v>
      </c>
      <c r="G23" s="56" t="str">
        <f t="shared" si="7"/>
        <v>96/31</v>
      </c>
      <c r="H23" s="56" t="str">
        <f t="shared" si="7"/>
        <v>104/34</v>
      </c>
      <c r="I23" s="56" t="str">
        <f t="shared" si="7"/>
        <v>111/37</v>
      </c>
      <c r="J23" s="56" t="str">
        <f t="shared" si="7"/>
        <v>119/40</v>
      </c>
      <c r="K23" s="56" t="str">
        <f t="shared" si="7"/>
        <v>127/43</v>
      </c>
      <c r="L23" s="56" t="str">
        <f t="shared" si="7"/>
        <v>135/45</v>
      </c>
      <c r="M23" s="329"/>
    </row>
    <row r="24" spans="1:17" hidden="1" x14ac:dyDescent="0.2">
      <c r="A24" t="s">
        <v>33</v>
      </c>
      <c r="C24" s="75">
        <f>C$4</f>
        <v>7</v>
      </c>
      <c r="D24" s="75">
        <f t="shared" ref="D24:L24" si="8">D$4</f>
        <v>8</v>
      </c>
      <c r="E24" s="75">
        <f t="shared" si="8"/>
        <v>8</v>
      </c>
      <c r="F24" s="75">
        <f t="shared" si="8"/>
        <v>8</v>
      </c>
      <c r="G24" s="75">
        <f t="shared" si="8"/>
        <v>8</v>
      </c>
      <c r="H24" s="75">
        <f t="shared" si="8"/>
        <v>8</v>
      </c>
      <c r="I24" s="75">
        <f t="shared" si="8"/>
        <v>7</v>
      </c>
      <c r="J24" s="75">
        <f t="shared" si="8"/>
        <v>8</v>
      </c>
      <c r="K24" s="75">
        <f t="shared" si="8"/>
        <v>8</v>
      </c>
      <c r="L24" s="75">
        <f t="shared" si="8"/>
        <v>8</v>
      </c>
      <c r="M24" s="75">
        <f>SUM(C24:L24)</f>
        <v>78</v>
      </c>
      <c r="N24" s="46" t="s">
        <v>34</v>
      </c>
    </row>
    <row r="25" spans="1:17" hidden="1" x14ac:dyDescent="0.2">
      <c r="A25" t="s">
        <v>21</v>
      </c>
      <c r="C25" s="75">
        <f>C$5</f>
        <v>2</v>
      </c>
      <c r="D25" s="75">
        <f t="shared" ref="D25:L25" si="9">D$5</f>
        <v>2</v>
      </c>
      <c r="E25" s="75">
        <f t="shared" si="9"/>
        <v>3</v>
      </c>
      <c r="F25" s="75">
        <f t="shared" si="9"/>
        <v>2</v>
      </c>
      <c r="G25" s="75">
        <f t="shared" si="9"/>
        <v>2</v>
      </c>
      <c r="H25" s="75">
        <f t="shared" si="9"/>
        <v>3</v>
      </c>
      <c r="I25" s="75">
        <f t="shared" si="9"/>
        <v>3</v>
      </c>
      <c r="J25" s="75">
        <f t="shared" si="9"/>
        <v>3</v>
      </c>
      <c r="K25" s="75">
        <f t="shared" si="9"/>
        <v>3</v>
      </c>
      <c r="L25" s="75">
        <f t="shared" si="9"/>
        <v>3</v>
      </c>
      <c r="M25" s="75">
        <f>SUM(C25:L25)</f>
        <v>26</v>
      </c>
      <c r="N25" s="46" t="s">
        <v>35</v>
      </c>
    </row>
    <row r="26" spans="1:17" ht="18" hidden="1" thickBot="1" x14ac:dyDescent="0.25">
      <c r="A26" s="51" t="s">
        <v>36</v>
      </c>
      <c r="C26" s="29">
        <f>C6*1.015^(C$2-2020)</f>
        <v>1478.5504999999998</v>
      </c>
      <c r="D26" s="29">
        <f t="shared" ref="D26:L26" si="10">D6*1.015^(D$2-2020)</f>
        <v>1715.1185799999994</v>
      </c>
      <c r="E26" s="29">
        <f t="shared" si="10"/>
        <v>1740.8453586999992</v>
      </c>
      <c r="F26" s="29">
        <f t="shared" si="10"/>
        <v>1766.958039080499</v>
      </c>
      <c r="G26" s="29">
        <f t="shared" si="10"/>
        <v>1793.4624096667062</v>
      </c>
      <c r="H26" s="29">
        <f t="shared" si="10"/>
        <v>1820.3643458117065</v>
      </c>
      <c r="I26" s="29">
        <f t="shared" si="10"/>
        <v>1616.7110846240216</v>
      </c>
      <c r="J26" s="29">
        <f t="shared" si="10"/>
        <v>1875.3848581638649</v>
      </c>
      <c r="K26" s="29">
        <f t="shared" si="10"/>
        <v>1903.5156310363227</v>
      </c>
      <c r="L26" s="29">
        <f t="shared" si="10"/>
        <v>1932.0683655018672</v>
      </c>
      <c r="M26" s="29">
        <f>SUM(C26:L26)</f>
        <v>17642.979172584983</v>
      </c>
    </row>
    <row r="27" spans="1:17" ht="18" hidden="1" thickBot="1" x14ac:dyDescent="0.25">
      <c r="A27" s="56" t="s">
        <v>38</v>
      </c>
      <c r="C27" s="29">
        <f t="shared" ref="C27:L28" si="11">C7*1.015^(C$2-2019)</f>
        <v>236.95174999999995</v>
      </c>
      <c r="D27" s="29">
        <f t="shared" si="11"/>
        <v>240.50602624999991</v>
      </c>
      <c r="E27" s="29">
        <f t="shared" si="11"/>
        <v>366.17042496562482</v>
      </c>
      <c r="F27" s="29">
        <f t="shared" si="11"/>
        <v>247.77532089340608</v>
      </c>
      <c r="G27" s="29">
        <f t="shared" si="11"/>
        <v>251.49195070680713</v>
      </c>
      <c r="H27" s="29">
        <f t="shared" si="11"/>
        <v>382.89649495111377</v>
      </c>
      <c r="I27" s="29">
        <f t="shared" si="11"/>
        <v>388.63994237538049</v>
      </c>
      <c r="J27" s="29">
        <f t="shared" si="11"/>
        <v>394.46954151101113</v>
      </c>
      <c r="K27" s="29">
        <f t="shared" si="11"/>
        <v>400.38658463367625</v>
      </c>
      <c r="L27" s="29">
        <f t="shared" si="11"/>
        <v>406.39238340318133</v>
      </c>
      <c r="M27" s="29">
        <f>SUM(C27:L27)</f>
        <v>3315.6804196902008</v>
      </c>
      <c r="N27" s="77">
        <f>SUM(M26:M27)</f>
        <v>20958.659592275184</v>
      </c>
      <c r="O27" s="78" t="s">
        <v>56</v>
      </c>
    </row>
    <row r="28" spans="1:17" ht="18" hidden="1" thickBot="1" x14ac:dyDescent="0.25">
      <c r="A28" s="58" t="s">
        <v>20</v>
      </c>
      <c r="C28" s="29">
        <f t="shared" si="11"/>
        <v>0</v>
      </c>
      <c r="D28" s="29">
        <f t="shared" si="11"/>
        <v>351.03423048749988</v>
      </c>
      <c r="E28" s="29">
        <f t="shared" si="11"/>
        <v>0</v>
      </c>
      <c r="F28" s="29">
        <f t="shared" si="11"/>
        <v>0</v>
      </c>
      <c r="G28" s="29">
        <f t="shared" si="11"/>
        <v>55.109540502709045</v>
      </c>
      <c r="H28" s="29">
        <f t="shared" si="11"/>
        <v>279.79190254253848</v>
      </c>
      <c r="I28" s="29">
        <f t="shared" si="11"/>
        <v>378.1635613200441</v>
      </c>
      <c r="J28" s="29">
        <f t="shared" si="11"/>
        <v>0</v>
      </c>
      <c r="K28" s="29">
        <f t="shared" si="11"/>
        <v>389.59355496094236</v>
      </c>
      <c r="L28" s="29">
        <f t="shared" si="11"/>
        <v>0</v>
      </c>
      <c r="M28" s="29">
        <f t="shared" ref="M28:M35" si="12">SUM(C28:L28)</f>
        <v>1453.692789813734</v>
      </c>
    </row>
    <row r="29" spans="1:17" ht="35" hidden="1" thickBot="1" x14ac:dyDescent="0.25">
      <c r="A29" s="58" t="s">
        <v>39</v>
      </c>
      <c r="C29" s="29">
        <f>C9*1.015^(C$2-2020)</f>
        <v>340.71519999999992</v>
      </c>
      <c r="D29" s="29">
        <f t="shared" ref="D29:L29" si="13">D9*1.015^(D$2-2020)</f>
        <v>0</v>
      </c>
      <c r="E29" s="29">
        <f t="shared" si="13"/>
        <v>438.76664614999987</v>
      </c>
      <c r="F29" s="29">
        <f t="shared" si="13"/>
        <v>0</v>
      </c>
      <c r="G29" s="29">
        <f>G9*1.015^(G$2-2020)</f>
        <v>0</v>
      </c>
      <c r="H29" s="29">
        <f t="shared" si="13"/>
        <v>0</v>
      </c>
      <c r="I29" s="29">
        <f t="shared" si="13"/>
        <v>0</v>
      </c>
      <c r="J29" s="29">
        <f t="shared" si="13"/>
        <v>0</v>
      </c>
      <c r="K29" s="29">
        <f t="shared" si="13"/>
        <v>0</v>
      </c>
      <c r="L29" s="29">
        <f t="shared" si="13"/>
        <v>0</v>
      </c>
      <c r="M29" s="29">
        <f t="shared" si="12"/>
        <v>779.4818461499998</v>
      </c>
      <c r="O29" s="30">
        <v>779.5</v>
      </c>
    </row>
    <row r="30" spans="1:17" ht="18" hidden="1" thickBot="1" x14ac:dyDescent="0.25">
      <c r="A30" s="56" t="s">
        <v>40</v>
      </c>
      <c r="C30" s="29">
        <f t="shared" ref="C30:E35" si="14">C10*1.015^(C$2-2019)</f>
        <v>0</v>
      </c>
      <c r="D30">
        <v>0</v>
      </c>
      <c r="E30" s="29">
        <f>E$10*1.015^(D$2-2019)</f>
        <v>104.56783749999997</v>
      </c>
      <c r="F30" s="29">
        <f t="shared" ref="F30:L35" si="15">F10*1.015^(F$2-2019)</f>
        <v>0</v>
      </c>
      <c r="G30" s="29">
        <f t="shared" si="15"/>
        <v>0</v>
      </c>
      <c r="H30" s="29">
        <f t="shared" si="15"/>
        <v>0</v>
      </c>
      <c r="I30" s="29">
        <f t="shared" si="15"/>
        <v>0</v>
      </c>
      <c r="J30" s="29">
        <f t="shared" si="15"/>
        <v>0</v>
      </c>
      <c r="K30" s="29">
        <f t="shared" si="15"/>
        <v>0</v>
      </c>
      <c r="L30" s="29">
        <f t="shared" si="15"/>
        <v>0</v>
      </c>
      <c r="M30" s="29">
        <f t="shared" si="12"/>
        <v>104.56783749999997</v>
      </c>
      <c r="N30" s="29">
        <f>SUM(M28:M30)</f>
        <v>2337.7424734637334</v>
      </c>
    </row>
    <row r="31" spans="1:17" ht="18" hidden="1" thickBot="1" x14ac:dyDescent="0.25">
      <c r="A31" s="56" t="s">
        <v>41</v>
      </c>
      <c r="C31" s="29">
        <f t="shared" si="14"/>
        <v>0</v>
      </c>
      <c r="D31" s="29">
        <f t="shared" si="14"/>
        <v>157.89743462499993</v>
      </c>
      <c r="E31" s="29">
        <f t="shared" si="14"/>
        <v>0</v>
      </c>
      <c r="F31" s="29">
        <f t="shared" si="15"/>
        <v>284.4029770254748</v>
      </c>
      <c r="G31" s="29">
        <f t="shared" si="15"/>
        <v>52.485276669246701</v>
      </c>
      <c r="H31" s="29">
        <f t="shared" si="15"/>
        <v>53.272555819285401</v>
      </c>
      <c r="I31" s="29">
        <f t="shared" si="15"/>
        <v>150.95000660377096</v>
      </c>
      <c r="J31" s="29">
        <f t="shared" si="15"/>
        <v>48.022378966557874</v>
      </c>
      <c r="K31" s="29">
        <f t="shared" si="15"/>
        <v>55.705959601207127</v>
      </c>
      <c r="L31" s="29">
        <f t="shared" si="15"/>
        <v>113.08309799045045</v>
      </c>
      <c r="M31" s="29">
        <f t="shared" si="12"/>
        <v>915.81968730099322</v>
      </c>
    </row>
    <row r="32" spans="1:17" ht="18" hidden="1" thickBot="1" x14ac:dyDescent="0.25">
      <c r="A32" s="56" t="s">
        <v>42</v>
      </c>
      <c r="C32" s="29">
        <f t="shared" si="14"/>
        <v>0</v>
      </c>
      <c r="D32" s="29">
        <f t="shared" si="14"/>
        <v>117.63881718749995</v>
      </c>
      <c r="E32" s="29">
        <f t="shared" si="14"/>
        <v>0</v>
      </c>
      <c r="F32" s="29">
        <f t="shared" si="15"/>
        <v>0</v>
      </c>
      <c r="G32" s="29">
        <f t="shared" si="15"/>
        <v>0</v>
      </c>
      <c r="H32" s="29">
        <f t="shared" si="15"/>
        <v>124.85755270145015</v>
      </c>
      <c r="I32" s="29">
        <f t="shared" si="15"/>
        <v>0</v>
      </c>
      <c r="J32" s="29">
        <f t="shared" si="15"/>
        <v>0</v>
      </c>
      <c r="K32" s="29">
        <f t="shared" si="15"/>
        <v>0</v>
      </c>
      <c r="L32" s="29">
        <f t="shared" si="15"/>
        <v>0</v>
      </c>
      <c r="M32" s="29">
        <f t="shared" si="12"/>
        <v>242.49636988895008</v>
      </c>
    </row>
    <row r="33" spans="1:15" ht="18" hidden="1" thickBot="1" x14ac:dyDescent="0.25">
      <c r="A33" s="56" t="s">
        <v>43</v>
      </c>
      <c r="C33" s="29">
        <f t="shared" si="14"/>
        <v>0</v>
      </c>
      <c r="D33" s="29">
        <f t="shared" si="14"/>
        <v>10.456783749999996</v>
      </c>
      <c r="E33" s="29">
        <f t="shared" si="14"/>
        <v>0</v>
      </c>
      <c r="F33" s="29">
        <f t="shared" si="15"/>
        <v>0</v>
      </c>
      <c r="G33" s="29">
        <f t="shared" si="15"/>
        <v>0</v>
      </c>
      <c r="H33" s="29">
        <f t="shared" si="15"/>
        <v>11.098449129017791</v>
      </c>
      <c r="I33" s="29">
        <f t="shared" si="15"/>
        <v>0</v>
      </c>
      <c r="J33" s="29">
        <f t="shared" si="15"/>
        <v>0</v>
      </c>
      <c r="K33" s="29">
        <f t="shared" si="15"/>
        <v>0</v>
      </c>
      <c r="L33" s="29">
        <f t="shared" si="15"/>
        <v>11.779489374005257</v>
      </c>
      <c r="M33" s="29">
        <f t="shared" si="12"/>
        <v>33.334722253023045</v>
      </c>
    </row>
    <row r="34" spans="1:15" ht="18" hidden="1" thickBot="1" x14ac:dyDescent="0.25">
      <c r="A34" s="56" t="s">
        <v>15</v>
      </c>
      <c r="C34" s="29">
        <f>C14*1.015^(C$2-2019)</f>
        <v>461.02568749999989</v>
      </c>
      <c r="D34" s="29">
        <f t="shared" si="14"/>
        <v>0</v>
      </c>
      <c r="E34" s="29">
        <f t="shared" si="14"/>
        <v>0</v>
      </c>
      <c r="F34" s="29">
        <f t="shared" si="15"/>
        <v>266.62779096138263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  <c r="M34" s="29">
        <f t="shared" si="12"/>
        <v>727.65347846138252</v>
      </c>
    </row>
    <row r="35" spans="1:15" ht="18" hidden="1" thickBot="1" x14ac:dyDescent="0.25">
      <c r="A35" s="56" t="s">
        <v>16</v>
      </c>
      <c r="C35" s="29">
        <f t="shared" si="14"/>
        <v>169.78107999999997</v>
      </c>
      <c r="D35" s="29">
        <f t="shared" si="14"/>
        <v>0</v>
      </c>
      <c r="E35" s="29">
        <f t="shared" si="14"/>
        <v>0</v>
      </c>
      <c r="F35" s="29">
        <f t="shared" si="15"/>
        <v>96.309189947263064</v>
      </c>
      <c r="G35" s="29">
        <f t="shared" si="15"/>
        <v>10.934432639426397</v>
      </c>
      <c r="H35" s="29">
        <f t="shared" si="15"/>
        <v>11.098449129017791</v>
      </c>
      <c r="I35" s="29">
        <f t="shared" si="15"/>
        <v>16.897388798929587</v>
      </c>
      <c r="J35" s="29">
        <f t="shared" si="15"/>
        <v>17.150849630913527</v>
      </c>
      <c r="K35" s="29">
        <f t="shared" si="15"/>
        <v>17.408112375377229</v>
      </c>
      <c r="L35" s="29">
        <f t="shared" si="15"/>
        <v>0</v>
      </c>
      <c r="M35" s="29">
        <f t="shared" si="12"/>
        <v>339.57950252092758</v>
      </c>
    </row>
    <row r="36" spans="1:15" ht="18" hidden="1" thickBot="1" x14ac:dyDescent="0.25">
      <c r="A36" s="56" t="s">
        <v>17</v>
      </c>
      <c r="C36" s="29">
        <f>SUM(C26:C35)</f>
        <v>2687.0242174999994</v>
      </c>
      <c r="D36" s="29">
        <f t="shared" ref="D36:L36" si="16">SUM(D26:D35)</f>
        <v>2592.651872299999</v>
      </c>
      <c r="E36" s="29">
        <f t="shared" si="16"/>
        <v>2650.3502673156236</v>
      </c>
      <c r="F36" s="29">
        <f t="shared" si="16"/>
        <v>2662.0733179080257</v>
      </c>
      <c r="G36" s="29">
        <f t="shared" si="16"/>
        <v>2163.483610184895</v>
      </c>
      <c r="H36" s="29">
        <f t="shared" si="16"/>
        <v>2683.3797500841301</v>
      </c>
      <c r="I36" s="29">
        <f t="shared" si="16"/>
        <v>2551.3619837221468</v>
      </c>
      <c r="J36" s="29">
        <f t="shared" si="16"/>
        <v>2335.0276282723471</v>
      </c>
      <c r="K36" s="29">
        <f t="shared" si="16"/>
        <v>2766.6098426075259</v>
      </c>
      <c r="L36" s="29">
        <f t="shared" si="16"/>
        <v>2463.3233362695041</v>
      </c>
      <c r="M36" s="80">
        <f>SUM(C36:L36)</f>
        <v>25555.285826164196</v>
      </c>
      <c r="N36" s="29">
        <f>SUM(M26:M35)</f>
        <v>25555.285826164196</v>
      </c>
    </row>
    <row r="37" spans="1:15" hidden="1" x14ac:dyDescent="0.2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5" x14ac:dyDescent="0.2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5" ht="21" thickBot="1" x14ac:dyDescent="0.25">
      <c r="A39" s="38" t="s">
        <v>31</v>
      </c>
    </row>
    <row r="40" spans="1:15" x14ac:dyDescent="0.2">
      <c r="A40" s="39" t="s">
        <v>32</v>
      </c>
      <c r="C40" s="40">
        <f>C$2</f>
        <v>2021</v>
      </c>
      <c r="D40" s="40">
        <f t="shared" ref="D40:L40" si="17">D$2</f>
        <v>2022</v>
      </c>
      <c r="E40" s="40">
        <f t="shared" si="17"/>
        <v>2023</v>
      </c>
      <c r="F40" s="40">
        <f t="shared" si="17"/>
        <v>2024</v>
      </c>
      <c r="G40" s="40">
        <f t="shared" si="17"/>
        <v>2025</v>
      </c>
      <c r="H40" s="40">
        <f t="shared" si="17"/>
        <v>2026</v>
      </c>
      <c r="I40" s="40">
        <f t="shared" si="17"/>
        <v>2027</v>
      </c>
      <c r="J40" s="40">
        <f t="shared" si="17"/>
        <v>2028</v>
      </c>
      <c r="K40" s="40">
        <f t="shared" si="17"/>
        <v>2029</v>
      </c>
      <c r="L40" s="40">
        <f t="shared" si="17"/>
        <v>2030</v>
      </c>
      <c r="M40" s="328" t="s">
        <v>17</v>
      </c>
    </row>
    <row r="41" spans="1:15" ht="18" thickBot="1" x14ac:dyDescent="0.25">
      <c r="C41" s="41" t="str">
        <f>C$3</f>
        <v>64/21</v>
      </c>
      <c r="D41" s="41" t="str">
        <f t="shared" ref="D41:L41" si="18">D$3</f>
        <v>72/24</v>
      </c>
      <c r="E41" s="41" t="str">
        <f t="shared" si="18"/>
        <v>80/26</v>
      </c>
      <c r="F41" s="41" t="str">
        <f t="shared" si="18"/>
        <v>88/29</v>
      </c>
      <c r="G41" s="41" t="str">
        <f t="shared" si="18"/>
        <v>96/31</v>
      </c>
      <c r="H41" s="41" t="str">
        <f t="shared" si="18"/>
        <v>104/34</v>
      </c>
      <c r="I41" s="41" t="str">
        <f t="shared" si="18"/>
        <v>111/37</v>
      </c>
      <c r="J41" s="41" t="str">
        <f t="shared" si="18"/>
        <v>119/40</v>
      </c>
      <c r="K41" s="41" t="str">
        <f t="shared" si="18"/>
        <v>127/43</v>
      </c>
      <c r="L41" s="41" t="str">
        <f t="shared" si="18"/>
        <v>135/45</v>
      </c>
      <c r="M41" s="330"/>
    </row>
    <row r="42" spans="1:15" x14ac:dyDescent="0.2">
      <c r="A42" t="s">
        <v>33</v>
      </c>
      <c r="C42" s="42">
        <f>C$4</f>
        <v>7</v>
      </c>
      <c r="D42" s="43">
        <f t="shared" ref="D42:L42" si="19">D$4</f>
        <v>8</v>
      </c>
      <c r="E42" s="43">
        <f t="shared" si="19"/>
        <v>8</v>
      </c>
      <c r="F42" s="43">
        <f t="shared" si="19"/>
        <v>8</v>
      </c>
      <c r="G42" s="44">
        <f t="shared" si="19"/>
        <v>8</v>
      </c>
      <c r="H42" s="42">
        <f t="shared" si="19"/>
        <v>8</v>
      </c>
      <c r="I42" s="43">
        <f t="shared" si="19"/>
        <v>7</v>
      </c>
      <c r="J42" s="43">
        <f t="shared" si="19"/>
        <v>8</v>
      </c>
      <c r="K42" s="43">
        <f t="shared" si="19"/>
        <v>8</v>
      </c>
      <c r="L42" s="44">
        <f t="shared" si="19"/>
        <v>8</v>
      </c>
      <c r="M42" s="45">
        <f>SUM(C42:L42)</f>
        <v>78</v>
      </c>
      <c r="N42" s="46" t="s">
        <v>34</v>
      </c>
    </row>
    <row r="43" spans="1:15" ht="17" thickBot="1" x14ac:dyDescent="0.25">
      <c r="A43" t="s">
        <v>21</v>
      </c>
      <c r="C43" s="47">
        <v>2</v>
      </c>
      <c r="D43" s="48">
        <f t="shared" ref="D43:L43" si="20">D$5</f>
        <v>2</v>
      </c>
      <c r="E43" s="48">
        <f t="shared" si="20"/>
        <v>3</v>
      </c>
      <c r="F43" s="48">
        <f t="shared" si="20"/>
        <v>2</v>
      </c>
      <c r="G43" s="49">
        <f t="shared" si="20"/>
        <v>2</v>
      </c>
      <c r="H43" s="47">
        <f t="shared" si="20"/>
        <v>3</v>
      </c>
      <c r="I43" s="48">
        <f t="shared" si="20"/>
        <v>3</v>
      </c>
      <c r="J43" s="48">
        <f t="shared" si="20"/>
        <v>3</v>
      </c>
      <c r="K43" s="48">
        <f t="shared" si="20"/>
        <v>3</v>
      </c>
      <c r="L43" s="49">
        <f t="shared" si="20"/>
        <v>3</v>
      </c>
      <c r="M43" s="50">
        <f>SUM(C43:L43)</f>
        <v>26</v>
      </c>
      <c r="N43" s="46" t="s">
        <v>35</v>
      </c>
    </row>
    <row r="44" spans="1:15" ht="18" thickBot="1" x14ac:dyDescent="0.25">
      <c r="A44" s="51" t="s">
        <v>36</v>
      </c>
      <c r="C44" s="52">
        <f>C42*206.5*1.015^(C40-2020)*(1-(C42-1)*0.03) + C42*1.6*1.015^(C40-2020)</f>
        <v>1214.4576499999998</v>
      </c>
      <c r="D44" s="52">
        <f t="shared" ref="D44:I44" si="21">D42*206.5*1.015^(D40-2020)*(1-(D42-1)*0.03) + D42*1.6*1.015^(D40-2020)</f>
        <v>1357.7129229999998</v>
      </c>
      <c r="E44" s="52">
        <f t="shared" si="21"/>
        <v>1378.0786168449995</v>
      </c>
      <c r="F44" s="52">
        <f t="shared" si="21"/>
        <v>1398.7497960976743</v>
      </c>
      <c r="G44" s="52">
        <f t="shared" si="21"/>
        <v>1419.7310430391392</v>
      </c>
      <c r="H44" s="52">
        <f t="shared" si="21"/>
        <v>1441.0270086847263</v>
      </c>
      <c r="I44" s="52">
        <f t="shared" si="21"/>
        <v>1327.9405367361078</v>
      </c>
      <c r="J44" s="52">
        <f>J42*206.5*1.015^(J40-2020)*(1-(J42-2)*0.03) + J42*1.6*1.015^(J40-2020)</f>
        <v>1540.4110226138848</v>
      </c>
      <c r="K44" s="52">
        <f>K42*206.5*1.015^(K40-2020)*(1-(K42-2)*0.03) + K42*1.6*1.015^(K40-2020)</f>
        <v>1563.5171879530931</v>
      </c>
      <c r="L44" s="52">
        <f>L42*206.5*1.015^(L40-2020)*(1-(L42-2)*0.03) + L42*1.6*1.015^(L40-2020)</f>
        <v>1586.9699457723893</v>
      </c>
      <c r="M44" s="55">
        <f>SUM(C44:L44)</f>
        <v>14228.595730742014</v>
      </c>
      <c r="N44" s="326" t="e">
        <f>SUM(M44:M45)</f>
        <v>#NAME?</v>
      </c>
      <c r="O44" s="327" t="s">
        <v>37</v>
      </c>
    </row>
    <row r="45" spans="1:15" ht="18" thickBot="1" x14ac:dyDescent="0.25">
      <c r="A45" s="56" t="s">
        <v>38</v>
      </c>
      <c r="C45" s="52" t="e">
        <f>C43*115*1.015^(C40-2019)*(1-(0.025*Summary!G73C43))</f>
        <v>#NAME?</v>
      </c>
      <c r="D45" s="52">
        <f t="shared" ref="D45:L45" si="22">D43*115*1.015^(D40-2019)*(1-(0.025*D43))</f>
        <v>228.4807249374999</v>
      </c>
      <c r="E45" s="52">
        <f t="shared" si="22"/>
        <v>338.70764309320299</v>
      </c>
      <c r="F45" s="52">
        <f t="shared" si="22"/>
        <v>235.38655484873576</v>
      </c>
      <c r="G45" s="52">
        <f>G43*115*1.015^(G40-2019)*(1-(0.025*G43))</f>
        <v>238.91735317146677</v>
      </c>
      <c r="H45" s="52">
        <f t="shared" si="22"/>
        <v>354.17925782978023</v>
      </c>
      <c r="I45" s="52">
        <f t="shared" si="22"/>
        <v>359.49194669722698</v>
      </c>
      <c r="J45" s="52">
        <f t="shared" si="22"/>
        <v>364.8843258976853</v>
      </c>
      <c r="K45" s="52">
        <f t="shared" si="22"/>
        <v>370.35759078615052</v>
      </c>
      <c r="L45" s="52">
        <f t="shared" si="22"/>
        <v>375.91295464794274</v>
      </c>
      <c r="M45" s="57" t="e">
        <f t="shared" ref="M45:M53" si="23">SUM(C45:L45)</f>
        <v>#NAME?</v>
      </c>
      <c r="N45" s="326"/>
      <c r="O45" s="327"/>
    </row>
    <row r="46" spans="1:15" ht="18" thickBot="1" x14ac:dyDescent="0.25">
      <c r="A46" s="58" t="s">
        <v>20</v>
      </c>
      <c r="C46" s="52">
        <f>C8*1.015^(C$2-2020)</f>
        <v>0</v>
      </c>
      <c r="D46" s="53">
        <f t="shared" ref="D46:L47" si="24">D8*1.015^(D$2-2020)</f>
        <v>345.84653249999991</v>
      </c>
      <c r="E46" s="53">
        <f t="shared" si="24"/>
        <v>0</v>
      </c>
      <c r="F46" s="53">
        <f t="shared" si="24"/>
        <v>0</v>
      </c>
      <c r="G46" s="54">
        <f t="shared" si="24"/>
        <v>54.295113795772473</v>
      </c>
      <c r="H46" s="52">
        <f t="shared" si="24"/>
        <v>275.65704683993948</v>
      </c>
      <c r="I46" s="53">
        <f t="shared" si="24"/>
        <v>372.57493726112722</v>
      </c>
      <c r="J46" s="53">
        <f t="shared" si="24"/>
        <v>0</v>
      </c>
      <c r="K46" s="53">
        <f t="shared" si="24"/>
        <v>383.8360147398447</v>
      </c>
      <c r="L46" s="54">
        <f t="shared" si="24"/>
        <v>0</v>
      </c>
      <c r="M46" s="55">
        <f>SUM(C46:L46)</f>
        <v>1432.2096451366838</v>
      </c>
    </row>
    <row r="47" spans="1:15" ht="35" thickBot="1" x14ac:dyDescent="0.25">
      <c r="A47" s="58" t="s">
        <v>39</v>
      </c>
      <c r="C47" s="52">
        <f>C9*1.015^(C$2-2020)</f>
        <v>340.71519999999992</v>
      </c>
      <c r="D47" s="53">
        <f t="shared" si="24"/>
        <v>0</v>
      </c>
      <c r="E47" s="53">
        <f t="shared" si="24"/>
        <v>438.76664614999987</v>
      </c>
      <c r="F47" s="53">
        <f t="shared" si="24"/>
        <v>0</v>
      </c>
      <c r="G47" s="54">
        <f t="shared" si="24"/>
        <v>0</v>
      </c>
      <c r="H47" s="52">
        <f t="shared" si="24"/>
        <v>0</v>
      </c>
      <c r="I47" s="53">
        <f t="shared" si="24"/>
        <v>0</v>
      </c>
      <c r="J47" s="53">
        <f t="shared" si="24"/>
        <v>0</v>
      </c>
      <c r="K47" s="53">
        <f t="shared" si="24"/>
        <v>0</v>
      </c>
      <c r="L47" s="54">
        <f t="shared" si="24"/>
        <v>0</v>
      </c>
      <c r="M47" s="57">
        <f t="shared" si="23"/>
        <v>779.4818461499998</v>
      </c>
    </row>
    <row r="48" spans="1:15" ht="18" thickBot="1" x14ac:dyDescent="0.25">
      <c r="A48" s="56" t="s">
        <v>40</v>
      </c>
      <c r="C48" s="52">
        <f t="shared" ref="C48:G53" si="25">C10*1.015^(C$2-2019)</f>
        <v>0</v>
      </c>
      <c r="D48" s="59">
        <v>0</v>
      </c>
      <c r="E48" s="53">
        <f>E$10*1.015^(D$2-2019)</f>
        <v>104.56783749999997</v>
      </c>
      <c r="F48" s="53">
        <f t="shared" ref="F48:L53" si="26">F10*1.015^(F$2-2019)</f>
        <v>0</v>
      </c>
      <c r="G48" s="54">
        <f t="shared" si="26"/>
        <v>0</v>
      </c>
      <c r="H48" s="52">
        <f t="shared" si="26"/>
        <v>0</v>
      </c>
      <c r="I48" s="53">
        <f t="shared" si="26"/>
        <v>0</v>
      </c>
      <c r="J48" s="53">
        <f t="shared" si="26"/>
        <v>0</v>
      </c>
      <c r="K48" s="53">
        <f t="shared" si="26"/>
        <v>0</v>
      </c>
      <c r="L48" s="54">
        <f t="shared" si="26"/>
        <v>0</v>
      </c>
      <c r="M48" s="57">
        <f t="shared" si="23"/>
        <v>104.56783749999997</v>
      </c>
      <c r="N48" s="29"/>
    </row>
    <row r="49" spans="1:14" ht="18" thickBot="1" x14ac:dyDescent="0.25">
      <c r="A49" s="56" t="s">
        <v>41</v>
      </c>
      <c r="C49" s="52">
        <f t="shared" si="25"/>
        <v>0</v>
      </c>
      <c r="D49" s="53">
        <f t="shared" si="25"/>
        <v>157.89743462499993</v>
      </c>
      <c r="E49" s="53">
        <f t="shared" si="25"/>
        <v>0</v>
      </c>
      <c r="F49" s="53">
        <f t="shared" si="25"/>
        <v>284.4029770254748</v>
      </c>
      <c r="G49" s="54">
        <f t="shared" si="25"/>
        <v>52.485276669246701</v>
      </c>
      <c r="H49" s="52">
        <f>H11*1.015^(H$2-2019)</f>
        <v>53.272555819285401</v>
      </c>
      <c r="I49" s="53">
        <f t="shared" si="26"/>
        <v>150.95000660377096</v>
      </c>
      <c r="J49" s="53">
        <f t="shared" si="26"/>
        <v>48.022378966557874</v>
      </c>
      <c r="K49" s="53">
        <f t="shared" si="26"/>
        <v>55.705959601207127</v>
      </c>
      <c r="L49" s="54">
        <f t="shared" si="26"/>
        <v>113.08309799045045</v>
      </c>
      <c r="M49" s="57">
        <f t="shared" si="23"/>
        <v>915.81968730099322</v>
      </c>
      <c r="N49" s="29"/>
    </row>
    <row r="50" spans="1:14" ht="18" thickBot="1" x14ac:dyDescent="0.25">
      <c r="A50" s="56" t="s">
        <v>42</v>
      </c>
      <c r="C50" s="52">
        <f t="shared" si="25"/>
        <v>0</v>
      </c>
      <c r="D50" s="53">
        <f t="shared" si="25"/>
        <v>117.63881718749995</v>
      </c>
      <c r="E50" s="53">
        <f t="shared" si="25"/>
        <v>0</v>
      </c>
      <c r="F50" s="53">
        <f t="shared" si="26"/>
        <v>0</v>
      </c>
      <c r="G50" s="54">
        <f t="shared" si="26"/>
        <v>0</v>
      </c>
      <c r="H50" s="52">
        <f t="shared" si="26"/>
        <v>124.85755270145015</v>
      </c>
      <c r="I50" s="53">
        <f t="shared" si="26"/>
        <v>0</v>
      </c>
      <c r="J50" s="53">
        <f t="shared" si="26"/>
        <v>0</v>
      </c>
      <c r="K50" s="53">
        <f t="shared" si="26"/>
        <v>0</v>
      </c>
      <c r="L50" s="54">
        <f t="shared" si="26"/>
        <v>0</v>
      </c>
      <c r="M50" s="57">
        <f t="shared" si="23"/>
        <v>242.49636988895008</v>
      </c>
    </row>
    <row r="51" spans="1:14" ht="18" thickBot="1" x14ac:dyDescent="0.25">
      <c r="A51" s="56" t="s">
        <v>43</v>
      </c>
      <c r="C51" s="52">
        <f t="shared" si="25"/>
        <v>0</v>
      </c>
      <c r="D51" s="53">
        <f t="shared" si="25"/>
        <v>10.456783749999996</v>
      </c>
      <c r="E51" s="53">
        <f t="shared" si="25"/>
        <v>0</v>
      </c>
      <c r="F51" s="53">
        <f t="shared" si="26"/>
        <v>0</v>
      </c>
      <c r="G51" s="54">
        <f t="shared" si="26"/>
        <v>0</v>
      </c>
      <c r="H51" s="52">
        <f t="shared" si="26"/>
        <v>11.098449129017791</v>
      </c>
      <c r="I51" s="53">
        <f t="shared" si="26"/>
        <v>0</v>
      </c>
      <c r="J51" s="53">
        <f t="shared" si="26"/>
        <v>0</v>
      </c>
      <c r="K51" s="53">
        <f t="shared" si="26"/>
        <v>0</v>
      </c>
      <c r="L51" s="54">
        <f t="shared" si="26"/>
        <v>11.779489374005257</v>
      </c>
      <c r="M51" s="57">
        <f t="shared" si="23"/>
        <v>33.334722253023045</v>
      </c>
    </row>
    <row r="52" spans="1:14" ht="18" thickBot="1" x14ac:dyDescent="0.25">
      <c r="A52" s="56" t="s">
        <v>15</v>
      </c>
      <c r="C52" s="52">
        <f t="shared" si="25"/>
        <v>461.02568749999989</v>
      </c>
      <c r="D52" s="53">
        <f t="shared" si="25"/>
        <v>0</v>
      </c>
      <c r="E52" s="53">
        <f t="shared" si="25"/>
        <v>0</v>
      </c>
      <c r="F52" s="53">
        <f t="shared" si="26"/>
        <v>266.62779096138263</v>
      </c>
      <c r="G52" s="54">
        <f t="shared" si="26"/>
        <v>0</v>
      </c>
      <c r="H52" s="52">
        <f t="shared" si="26"/>
        <v>0</v>
      </c>
      <c r="I52" s="53">
        <f t="shared" si="26"/>
        <v>0</v>
      </c>
      <c r="J52" s="53">
        <f t="shared" si="26"/>
        <v>0</v>
      </c>
      <c r="K52" s="53">
        <f t="shared" si="26"/>
        <v>0</v>
      </c>
      <c r="L52" s="54">
        <f t="shared" si="26"/>
        <v>0</v>
      </c>
      <c r="M52" s="57">
        <f t="shared" si="23"/>
        <v>727.65347846138252</v>
      </c>
    </row>
    <row r="53" spans="1:14" ht="18" thickBot="1" x14ac:dyDescent="0.25">
      <c r="A53" s="56" t="s">
        <v>16</v>
      </c>
      <c r="C53" s="52">
        <f t="shared" si="25"/>
        <v>169.78107999999997</v>
      </c>
      <c r="D53" s="53">
        <f t="shared" si="25"/>
        <v>0</v>
      </c>
      <c r="E53" s="53">
        <f t="shared" si="25"/>
        <v>0</v>
      </c>
      <c r="F53" s="53">
        <f t="shared" si="26"/>
        <v>96.309189947263064</v>
      </c>
      <c r="G53" s="54">
        <f t="shared" si="26"/>
        <v>10.934432639426397</v>
      </c>
      <c r="H53" s="52">
        <f>H15*1.015^(H$2-2019)</f>
        <v>11.098449129017791</v>
      </c>
      <c r="I53" s="53">
        <f t="shared" si="26"/>
        <v>16.897388798929587</v>
      </c>
      <c r="J53" s="53">
        <f t="shared" si="26"/>
        <v>17.150849630913527</v>
      </c>
      <c r="K53" s="53">
        <f t="shared" si="26"/>
        <v>17.408112375377229</v>
      </c>
      <c r="L53" s="54">
        <f t="shared" si="26"/>
        <v>0</v>
      </c>
      <c r="M53" s="57">
        <f t="shared" si="23"/>
        <v>339.57950252092758</v>
      </c>
    </row>
    <row r="54" spans="1:14" ht="18" thickBot="1" x14ac:dyDescent="0.25">
      <c r="A54" s="56" t="s">
        <v>17</v>
      </c>
      <c r="C54" s="60" t="e">
        <f>SUM(C44:C53)</f>
        <v>#NAME?</v>
      </c>
      <c r="D54" s="61">
        <f t="shared" ref="D54:L54" si="27">SUM(D44:D53)</f>
        <v>2218.0332159999994</v>
      </c>
      <c r="E54" s="61">
        <f t="shared" si="27"/>
        <v>2260.120743588202</v>
      </c>
      <c r="F54" s="61">
        <f t="shared" si="27"/>
        <v>2281.4763088805307</v>
      </c>
      <c r="G54" s="62">
        <f t="shared" si="27"/>
        <v>1776.3632193150518</v>
      </c>
      <c r="H54" s="60">
        <f t="shared" si="27"/>
        <v>2271.190320133217</v>
      </c>
      <c r="I54" s="61">
        <f t="shared" si="27"/>
        <v>2227.8548160971623</v>
      </c>
      <c r="J54" s="61">
        <f t="shared" si="27"/>
        <v>1970.4685771090417</v>
      </c>
      <c r="K54" s="61">
        <f t="shared" si="27"/>
        <v>2390.8248654556728</v>
      </c>
      <c r="L54" s="62">
        <f t="shared" si="27"/>
        <v>2087.7454877847877</v>
      </c>
      <c r="M54" s="63" t="e">
        <f>SUM(C54:L54)</f>
        <v>#NAME?</v>
      </c>
    </row>
    <row r="55" spans="1:14" hidden="1" x14ac:dyDescent="0.2">
      <c r="C55" s="64"/>
      <c r="D55" s="64"/>
      <c r="E55" s="64"/>
      <c r="F55" s="64"/>
      <c r="G55" s="65"/>
      <c r="H55" s="64"/>
      <c r="I55" s="64"/>
      <c r="J55" s="64"/>
      <c r="K55" s="64"/>
      <c r="L55" s="66"/>
      <c r="M55" s="64"/>
    </row>
    <row r="56" spans="1:14" x14ac:dyDescent="0.2">
      <c r="C56" s="67"/>
      <c r="D56" s="67"/>
      <c r="E56" s="67"/>
      <c r="F56" s="67"/>
      <c r="G56" s="68" t="e">
        <f>SUM(C54:G54)</f>
        <v>#NAME?</v>
      </c>
      <c r="H56" s="67"/>
      <c r="I56" s="67"/>
      <c r="J56" s="67"/>
      <c r="K56" s="67"/>
      <c r="L56" s="69" t="e">
        <f>M54-G56</f>
        <v>#NAME?</v>
      </c>
      <c r="M56" s="67"/>
    </row>
    <row r="57" spans="1:14" x14ac:dyDescent="0.2">
      <c r="C57" s="29"/>
      <c r="D57" s="29"/>
      <c r="E57" s="29"/>
      <c r="F57" s="70" t="s">
        <v>44</v>
      </c>
      <c r="G57" s="29">
        <v>10946</v>
      </c>
      <c r="H57" s="29"/>
      <c r="I57" s="29">
        <f>G8+H8</f>
        <v>302.5</v>
      </c>
      <c r="J57" s="29"/>
      <c r="K57" s="29"/>
      <c r="L57" s="29"/>
      <c r="M57" s="29">
        <v>21897</v>
      </c>
    </row>
    <row r="58" spans="1:14" x14ac:dyDescent="0.2">
      <c r="G58" s="29" t="e">
        <f>G56-G57</f>
        <v>#NAME?</v>
      </c>
      <c r="H58" s="29"/>
      <c r="I58" s="29">
        <v>302.5</v>
      </c>
      <c r="M58" s="71" t="e">
        <f>M57-M54</f>
        <v>#NAME?</v>
      </c>
    </row>
    <row r="61" spans="1:14" ht="21" hidden="1" thickBot="1" x14ac:dyDescent="0.25">
      <c r="A61" s="38" t="s">
        <v>58</v>
      </c>
    </row>
    <row r="62" spans="1:14" hidden="1" x14ac:dyDescent="0.2">
      <c r="A62" s="39" t="s">
        <v>32</v>
      </c>
      <c r="C62" s="40">
        <f>C$2</f>
        <v>2021</v>
      </c>
      <c r="D62" s="40">
        <f t="shared" ref="D62:L62" si="28">D$2</f>
        <v>2022</v>
      </c>
      <c r="E62" s="40">
        <f t="shared" si="28"/>
        <v>2023</v>
      </c>
      <c r="F62" s="40">
        <f t="shared" si="28"/>
        <v>2024</v>
      </c>
      <c r="G62" s="40">
        <f t="shared" si="28"/>
        <v>2025</v>
      </c>
      <c r="H62" s="40">
        <f t="shared" si="28"/>
        <v>2026</v>
      </c>
      <c r="I62" s="40">
        <f t="shared" si="28"/>
        <v>2027</v>
      </c>
      <c r="J62" s="40">
        <f t="shared" si="28"/>
        <v>2028</v>
      </c>
      <c r="K62" s="40">
        <f t="shared" si="28"/>
        <v>2029</v>
      </c>
      <c r="L62" s="40">
        <f t="shared" si="28"/>
        <v>2030</v>
      </c>
      <c r="M62" s="328" t="s">
        <v>17</v>
      </c>
      <c r="N62" s="46" t="s">
        <v>34</v>
      </c>
    </row>
    <row r="63" spans="1:14" ht="18" hidden="1" thickBot="1" x14ac:dyDescent="0.25">
      <c r="A63" s="39" t="s">
        <v>59</v>
      </c>
      <c r="C63" s="56" t="str">
        <f>C$3</f>
        <v>64/21</v>
      </c>
      <c r="D63" s="56" t="str">
        <f t="shared" ref="D63:L63" si="29">D$3</f>
        <v>72/24</v>
      </c>
      <c r="E63" s="56" t="str">
        <f t="shared" si="29"/>
        <v>80/26</v>
      </c>
      <c r="F63" s="56" t="str">
        <f t="shared" si="29"/>
        <v>88/29</v>
      </c>
      <c r="G63" s="56" t="str">
        <f t="shared" si="29"/>
        <v>96/31</v>
      </c>
      <c r="H63" s="56" t="str">
        <f t="shared" si="29"/>
        <v>104/34</v>
      </c>
      <c r="I63" s="56" t="str">
        <f t="shared" si="29"/>
        <v>111/37</v>
      </c>
      <c r="J63" s="56" t="str">
        <f t="shared" si="29"/>
        <v>119/40</v>
      </c>
      <c r="K63" s="56" t="str">
        <f t="shared" si="29"/>
        <v>127/43</v>
      </c>
      <c r="L63" s="56" t="str">
        <f t="shared" si="29"/>
        <v>135/45</v>
      </c>
      <c r="M63" s="329"/>
      <c r="N63" s="46" t="s">
        <v>35</v>
      </c>
    </row>
    <row r="64" spans="1:14" hidden="1" x14ac:dyDescent="0.2">
      <c r="A64" t="s">
        <v>33</v>
      </c>
      <c r="C64" s="75">
        <f>C$4</f>
        <v>7</v>
      </c>
      <c r="D64" s="75">
        <f t="shared" ref="D64:L64" si="30">D$4</f>
        <v>8</v>
      </c>
      <c r="E64" s="75">
        <f t="shared" si="30"/>
        <v>8</v>
      </c>
      <c r="F64" s="75">
        <f t="shared" si="30"/>
        <v>8</v>
      </c>
      <c r="G64" s="75">
        <f t="shared" si="30"/>
        <v>8</v>
      </c>
      <c r="H64" s="75">
        <f t="shared" si="30"/>
        <v>8</v>
      </c>
      <c r="I64" s="75">
        <f t="shared" si="30"/>
        <v>7</v>
      </c>
      <c r="J64" s="75">
        <f t="shared" si="30"/>
        <v>8</v>
      </c>
      <c r="K64" s="75">
        <f t="shared" si="30"/>
        <v>8</v>
      </c>
      <c r="L64" s="75">
        <f t="shared" si="30"/>
        <v>8</v>
      </c>
      <c r="M64" s="75">
        <v>78</v>
      </c>
    </row>
    <row r="65" spans="1:15" ht="17" hidden="1" thickBot="1" x14ac:dyDescent="0.25">
      <c r="A65" t="s">
        <v>21</v>
      </c>
      <c r="C65" s="75">
        <f>C$5</f>
        <v>2</v>
      </c>
      <c r="D65" s="75">
        <f t="shared" ref="D65:L65" si="31">D$5</f>
        <v>2</v>
      </c>
      <c r="E65" s="75">
        <f t="shared" si="31"/>
        <v>3</v>
      </c>
      <c r="F65" s="75">
        <f t="shared" si="31"/>
        <v>2</v>
      </c>
      <c r="G65" s="75">
        <f t="shared" si="31"/>
        <v>2</v>
      </c>
      <c r="H65" s="75">
        <f t="shared" si="31"/>
        <v>3</v>
      </c>
      <c r="I65" s="75">
        <f t="shared" si="31"/>
        <v>3</v>
      </c>
      <c r="J65" s="75">
        <f t="shared" si="31"/>
        <v>3</v>
      </c>
      <c r="K65" s="75">
        <f t="shared" si="31"/>
        <v>3</v>
      </c>
      <c r="L65" s="75">
        <f t="shared" si="31"/>
        <v>3</v>
      </c>
      <c r="M65" s="75">
        <v>26</v>
      </c>
    </row>
    <row r="66" spans="1:15" ht="18" hidden="1" thickBot="1" x14ac:dyDescent="0.25">
      <c r="A66" s="51" t="s">
        <v>36</v>
      </c>
      <c r="C66" s="71">
        <f t="shared" ref="C66:I66" si="32">C4*206.5*1.025^(C$2-2020)*(1-(C4-1)*0.03) + C4*1.6*1.025^(C$2-2020)</f>
        <v>1226.42275</v>
      </c>
      <c r="D66" s="71">
        <f t="shared" si="32"/>
        <v>1384.5976750000002</v>
      </c>
      <c r="E66" s="71">
        <f t="shared" si="32"/>
        <v>1419.2126168749999</v>
      </c>
      <c r="F66" s="71">
        <f t="shared" si="32"/>
        <v>1454.6929322968749</v>
      </c>
      <c r="G66" s="71">
        <f t="shared" si="32"/>
        <v>1491.0602556042966</v>
      </c>
      <c r="H66" s="71">
        <f t="shared" si="32"/>
        <v>1528.3367619944038</v>
      </c>
      <c r="I66" s="71">
        <f t="shared" si="32"/>
        <v>1422.2743911215532</v>
      </c>
      <c r="J66" s="71">
        <f>J4*206.5*1.025^(J$2-2020)*(1-(J4-2)*0.03) + J4*1.6*1.025^(J$2-2020)</f>
        <v>1666.092858170962</v>
      </c>
      <c r="K66" s="71">
        <f>K4*206.5*1.025^(K$2-2020)*(1-(K4-2)*0.03) + K4*1.6*1.025^(K$2-2020)</f>
        <v>1707.7451796252358</v>
      </c>
      <c r="L66" s="71">
        <f>L4*206.5*1.025^(L$2-2020)*(1-(L4-2)*0.03) + L4*1.6*1.025^(L$2-2020)</f>
        <v>1750.4388091158664</v>
      </c>
      <c r="M66" s="71">
        <f>SUM(C66:L66)</f>
        <v>15050.874229804193</v>
      </c>
    </row>
    <row r="67" spans="1:15" ht="18" hidden="1" thickBot="1" x14ac:dyDescent="0.25">
      <c r="A67" s="56" t="s">
        <v>38</v>
      </c>
      <c r="C67" s="71">
        <f t="shared" ref="C67:L67" si="33">C7*1.015^(C$2-2019)*(1-(0.025*C65))</f>
        <v>225.10416249999994</v>
      </c>
      <c r="D67" s="71">
        <f t="shared" si="33"/>
        <v>228.4807249374999</v>
      </c>
      <c r="E67" s="71">
        <f t="shared" si="33"/>
        <v>338.70764309320299</v>
      </c>
      <c r="F67" s="71">
        <f t="shared" si="33"/>
        <v>235.38655484873576</v>
      </c>
      <c r="G67" s="71">
        <f t="shared" si="33"/>
        <v>238.91735317146677</v>
      </c>
      <c r="H67" s="71">
        <f t="shared" si="33"/>
        <v>354.17925782978023</v>
      </c>
      <c r="I67" s="71">
        <f t="shared" si="33"/>
        <v>359.49194669722698</v>
      </c>
      <c r="J67" s="71">
        <f t="shared" si="33"/>
        <v>364.8843258976853</v>
      </c>
      <c r="K67" s="71">
        <f t="shared" si="33"/>
        <v>370.35759078615052</v>
      </c>
      <c r="L67" s="71">
        <f t="shared" si="33"/>
        <v>375.91295464794274</v>
      </c>
      <c r="M67" s="71">
        <f t="shared" ref="M67:M75" si="34">SUM(C67:L67)</f>
        <v>3091.4225144096908</v>
      </c>
      <c r="N67" s="77">
        <f>SUM(M66:M67)</f>
        <v>18142.296744213883</v>
      </c>
      <c r="O67" s="78" t="s">
        <v>56</v>
      </c>
    </row>
    <row r="68" spans="1:15" ht="18" hidden="1" thickBot="1" x14ac:dyDescent="0.25">
      <c r="A68" s="58" t="s">
        <v>20</v>
      </c>
      <c r="C68" s="71">
        <f>C$8*1.015^(C$2-2020)</f>
        <v>0</v>
      </c>
      <c r="D68" s="71">
        <f t="shared" ref="D68:L68" si="35">D$8*1.015^(D$2-2020)</f>
        <v>345.84653249999991</v>
      </c>
      <c r="E68" s="71">
        <f>E$8*1.015^(E$2-2020)</f>
        <v>0</v>
      </c>
      <c r="F68" s="71">
        <f>F$8*1.015^(F$2-2020)</f>
        <v>0</v>
      </c>
      <c r="G68" s="71">
        <f>G$8*1.015^(G$2-2020)</f>
        <v>54.295113795772473</v>
      </c>
      <c r="H68" s="71">
        <v>0</v>
      </c>
      <c r="I68" s="71">
        <f t="shared" si="35"/>
        <v>372.57493726112722</v>
      </c>
      <c r="J68" s="71">
        <f t="shared" si="35"/>
        <v>0</v>
      </c>
      <c r="K68" s="71">
        <f t="shared" si="35"/>
        <v>383.8360147398447</v>
      </c>
      <c r="L68" s="71">
        <f t="shared" si="35"/>
        <v>0</v>
      </c>
      <c r="M68" s="71">
        <f t="shared" si="34"/>
        <v>1156.5525982967442</v>
      </c>
    </row>
    <row r="69" spans="1:15" ht="35" hidden="1" thickBot="1" x14ac:dyDescent="0.25">
      <c r="A69" s="58" t="s">
        <v>39</v>
      </c>
      <c r="C69" s="71">
        <f>C$9*1.015^(C$2-2020)</f>
        <v>340.71519999999992</v>
      </c>
      <c r="D69" s="71">
        <f t="shared" ref="D69:L69" si="36">D$9*1.015^(D$2-2020)</f>
        <v>0</v>
      </c>
      <c r="E69" s="71">
        <f t="shared" si="36"/>
        <v>438.76664614999987</v>
      </c>
      <c r="F69" s="71">
        <f t="shared" si="36"/>
        <v>0</v>
      </c>
      <c r="G69" s="71">
        <f t="shared" si="36"/>
        <v>0</v>
      </c>
      <c r="H69" s="71">
        <v>0</v>
      </c>
      <c r="I69" s="71">
        <f t="shared" si="36"/>
        <v>0</v>
      </c>
      <c r="J69" s="71">
        <f t="shared" si="36"/>
        <v>0</v>
      </c>
      <c r="K69" s="71">
        <f t="shared" si="36"/>
        <v>0</v>
      </c>
      <c r="L69" s="71">
        <f t="shared" si="36"/>
        <v>0</v>
      </c>
      <c r="M69" s="71">
        <f t="shared" si="34"/>
        <v>779.4818461499998</v>
      </c>
    </row>
    <row r="70" spans="1:15" ht="18" hidden="1" thickBot="1" x14ac:dyDescent="0.25">
      <c r="A70" s="56" t="s">
        <v>40</v>
      </c>
      <c r="C70" s="71">
        <f>C$10*1.015^(C$2-2019)</f>
        <v>0</v>
      </c>
      <c r="D70" s="71">
        <f t="shared" ref="D70:L70" si="37">D$10*1.015^(D$2-2019)</f>
        <v>0</v>
      </c>
      <c r="E70" s="71">
        <f>E$10*1.015^(D$2-2019)</f>
        <v>104.56783749999997</v>
      </c>
      <c r="F70" s="71">
        <f t="shared" si="37"/>
        <v>0</v>
      </c>
      <c r="G70" s="71">
        <f t="shared" si="37"/>
        <v>0</v>
      </c>
      <c r="H70" s="71">
        <f t="shared" si="37"/>
        <v>0</v>
      </c>
      <c r="I70" s="71">
        <f t="shared" si="37"/>
        <v>0</v>
      </c>
      <c r="J70" s="71">
        <f t="shared" si="37"/>
        <v>0</v>
      </c>
      <c r="K70" s="71">
        <f t="shared" si="37"/>
        <v>0</v>
      </c>
      <c r="L70" s="71">
        <f t="shared" si="37"/>
        <v>0</v>
      </c>
      <c r="M70" s="71">
        <f t="shared" si="34"/>
        <v>104.56783749999997</v>
      </c>
    </row>
    <row r="71" spans="1:15" ht="18" hidden="1" thickBot="1" x14ac:dyDescent="0.25">
      <c r="A71" s="56" t="s">
        <v>41</v>
      </c>
      <c r="C71" s="71">
        <f>C$11*1.015^(C$2-2019)</f>
        <v>0</v>
      </c>
      <c r="D71" s="71">
        <f t="shared" ref="D71:L71" si="38">D$11*1.015^(D$2-2019)</f>
        <v>157.89743462499993</v>
      </c>
      <c r="E71" s="71">
        <f t="shared" si="38"/>
        <v>0</v>
      </c>
      <c r="F71" s="71">
        <f t="shared" si="38"/>
        <v>284.4029770254748</v>
      </c>
      <c r="G71" s="71">
        <f t="shared" si="38"/>
        <v>52.485276669246701</v>
      </c>
      <c r="H71" s="71">
        <f t="shared" si="38"/>
        <v>53.272555819285401</v>
      </c>
      <c r="I71" s="71">
        <f t="shared" si="38"/>
        <v>150.95000660377096</v>
      </c>
      <c r="J71" s="71">
        <f t="shared" si="38"/>
        <v>48.022378966557874</v>
      </c>
      <c r="K71" s="71">
        <f t="shared" si="38"/>
        <v>55.705959601207127</v>
      </c>
      <c r="L71" s="71">
        <f t="shared" si="38"/>
        <v>113.08309799045045</v>
      </c>
      <c r="M71" s="71">
        <f t="shared" si="34"/>
        <v>915.81968730099322</v>
      </c>
    </row>
    <row r="72" spans="1:15" ht="18" hidden="1" thickBot="1" x14ac:dyDescent="0.25">
      <c r="A72" s="56" t="s">
        <v>42</v>
      </c>
      <c r="C72" s="71">
        <f>C$12*1.015^(C$2-2019)</f>
        <v>0</v>
      </c>
      <c r="D72" s="71">
        <f t="shared" ref="D72:L72" si="39">D$12*1.015^(D$2-2019)</f>
        <v>117.63881718749995</v>
      </c>
      <c r="E72" s="71">
        <f t="shared" si="39"/>
        <v>0</v>
      </c>
      <c r="F72" s="71">
        <f t="shared" si="39"/>
        <v>0</v>
      </c>
      <c r="G72" s="71">
        <f t="shared" si="39"/>
        <v>0</v>
      </c>
      <c r="H72" s="71">
        <f t="shared" si="39"/>
        <v>124.85755270145015</v>
      </c>
      <c r="I72" s="71">
        <f t="shared" si="39"/>
        <v>0</v>
      </c>
      <c r="J72" s="71">
        <f t="shared" si="39"/>
        <v>0</v>
      </c>
      <c r="K72" s="71">
        <f t="shared" si="39"/>
        <v>0</v>
      </c>
      <c r="L72" s="71">
        <f t="shared" si="39"/>
        <v>0</v>
      </c>
      <c r="M72" s="71">
        <f t="shared" si="34"/>
        <v>242.49636988895008</v>
      </c>
    </row>
    <row r="73" spans="1:15" ht="18" hidden="1" thickBot="1" x14ac:dyDescent="0.25">
      <c r="A73" s="56" t="s">
        <v>43</v>
      </c>
      <c r="C73" s="71">
        <f>C$13*1.015^(C$2-2019)</f>
        <v>0</v>
      </c>
      <c r="D73" s="71">
        <f t="shared" ref="D73:L73" si="40">D$13*1.015^(D$2-2019)</f>
        <v>10.456783749999996</v>
      </c>
      <c r="E73" s="71">
        <f t="shared" si="40"/>
        <v>0</v>
      </c>
      <c r="F73" s="71">
        <f t="shared" si="40"/>
        <v>0</v>
      </c>
      <c r="G73" s="71">
        <f t="shared" si="40"/>
        <v>0</v>
      </c>
      <c r="H73" s="71">
        <f t="shared" si="40"/>
        <v>11.098449129017791</v>
      </c>
      <c r="I73" s="71">
        <f t="shared" si="40"/>
        <v>0</v>
      </c>
      <c r="J73" s="71">
        <f t="shared" si="40"/>
        <v>0</v>
      </c>
      <c r="K73" s="71">
        <f t="shared" si="40"/>
        <v>0</v>
      </c>
      <c r="L73" s="71">
        <f t="shared" si="40"/>
        <v>11.779489374005257</v>
      </c>
      <c r="M73" s="71">
        <f t="shared" si="34"/>
        <v>33.334722253023045</v>
      </c>
    </row>
    <row r="74" spans="1:15" ht="18" hidden="1" thickBot="1" x14ac:dyDescent="0.25">
      <c r="A74" s="56" t="s">
        <v>15</v>
      </c>
      <c r="C74" s="71">
        <f>C$14*1.015^(C$2-2019)</f>
        <v>461.02568749999989</v>
      </c>
      <c r="D74" s="71">
        <f t="shared" ref="D74:L74" si="41">D$14*1.015^(D$2-2019)</f>
        <v>0</v>
      </c>
      <c r="E74" s="71">
        <f t="shared" si="41"/>
        <v>0</v>
      </c>
      <c r="F74" s="71">
        <f t="shared" si="41"/>
        <v>266.62779096138263</v>
      </c>
      <c r="G74" s="71">
        <f t="shared" si="41"/>
        <v>0</v>
      </c>
      <c r="H74" s="71">
        <f t="shared" si="41"/>
        <v>0</v>
      </c>
      <c r="I74" s="71">
        <f t="shared" si="41"/>
        <v>0</v>
      </c>
      <c r="J74" s="71">
        <f t="shared" si="41"/>
        <v>0</v>
      </c>
      <c r="K74" s="71">
        <f t="shared" si="41"/>
        <v>0</v>
      </c>
      <c r="L74" s="71">
        <f t="shared" si="41"/>
        <v>0</v>
      </c>
      <c r="M74" s="71">
        <f>SUM(C74:L74)</f>
        <v>727.65347846138252</v>
      </c>
    </row>
    <row r="75" spans="1:15" ht="18" hidden="1" thickBot="1" x14ac:dyDescent="0.25">
      <c r="A75" s="56" t="s">
        <v>16</v>
      </c>
      <c r="C75" s="71">
        <f>C$15*1.015^(C$2-2019)</f>
        <v>169.78107999999997</v>
      </c>
      <c r="D75" s="71">
        <f t="shared" ref="D75:L75" si="42">D$15*1.015^(D$2-2019)</f>
        <v>0</v>
      </c>
      <c r="E75" s="71">
        <f t="shared" si="42"/>
        <v>0</v>
      </c>
      <c r="F75" s="71">
        <f t="shared" si="42"/>
        <v>96.309189947263064</v>
      </c>
      <c r="G75" s="71">
        <f t="shared" si="42"/>
        <v>10.934432639426397</v>
      </c>
      <c r="H75" s="71">
        <f t="shared" si="42"/>
        <v>11.098449129017791</v>
      </c>
      <c r="I75" s="71">
        <f t="shared" si="42"/>
        <v>16.897388798929587</v>
      </c>
      <c r="J75" s="71">
        <f t="shared" si="42"/>
        <v>17.150849630913527</v>
      </c>
      <c r="K75" s="71">
        <f t="shared" si="42"/>
        <v>17.408112375377229</v>
      </c>
      <c r="L75" s="71">
        <f t="shared" si="42"/>
        <v>0</v>
      </c>
      <c r="M75" s="71">
        <f t="shared" si="34"/>
        <v>339.57950252092758</v>
      </c>
    </row>
    <row r="76" spans="1:15" ht="18" hidden="1" thickBot="1" x14ac:dyDescent="0.25">
      <c r="A76" s="56" t="s">
        <v>17</v>
      </c>
      <c r="C76" s="71">
        <f t="shared" ref="C76:L76" si="43">SUM(C66:C75)</f>
        <v>2423.0488799999994</v>
      </c>
      <c r="D76" s="71">
        <f t="shared" si="43"/>
        <v>2244.9179679999997</v>
      </c>
      <c r="E76" s="71">
        <f t="shared" si="43"/>
        <v>2301.2547436182026</v>
      </c>
      <c r="F76" s="71">
        <f t="shared" si="43"/>
        <v>2337.4194450797313</v>
      </c>
      <c r="G76" s="71">
        <f t="shared" si="43"/>
        <v>1847.6924318802091</v>
      </c>
      <c r="H76" s="71">
        <f t="shared" si="43"/>
        <v>2082.843026602955</v>
      </c>
      <c r="I76" s="71">
        <f t="shared" si="43"/>
        <v>2322.1886704826079</v>
      </c>
      <c r="J76" s="71">
        <f t="shared" si="43"/>
        <v>2096.1504126661184</v>
      </c>
      <c r="K76" s="71">
        <f t="shared" si="43"/>
        <v>2535.0528571278155</v>
      </c>
      <c r="L76" s="71">
        <f t="shared" si="43"/>
        <v>2251.2143511282648</v>
      </c>
      <c r="M76" s="81">
        <f>SUM(C76:L76)</f>
        <v>22441.782786585907</v>
      </c>
    </row>
    <row r="77" spans="1:15" hidden="1" x14ac:dyDescent="0.2"/>
    <row r="78" spans="1:15" hidden="1" x14ac:dyDescent="0.2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5" hidden="1" x14ac:dyDescent="0.2">
      <c r="C79" s="29" t="s">
        <v>14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5" hidden="1" x14ac:dyDescent="0.2"/>
    <row r="81" hidden="1" x14ac:dyDescent="0.2"/>
  </sheetData>
  <mergeCells count="6">
    <mergeCell ref="N44:N45"/>
    <mergeCell ref="O44:O45"/>
    <mergeCell ref="M62:M63"/>
    <mergeCell ref="M2:M3"/>
    <mergeCell ref="M22:M23"/>
    <mergeCell ref="M40:M4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E0DA-D6B8-D849-AD7F-1EAEBAC2C439}">
  <dimension ref="A1:Q23"/>
  <sheetViews>
    <sheetView workbookViewId="0">
      <selection sqref="A1:XFD1048576"/>
    </sheetView>
  </sheetViews>
  <sheetFormatPr baseColWidth="10" defaultRowHeight="16" x14ac:dyDescent="0.2"/>
  <cols>
    <col min="1" max="1" width="12.5" style="25" customWidth="1"/>
    <col min="2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114</v>
      </c>
      <c r="B1" s="36">
        <v>2.5399999999999999E-2</v>
      </c>
      <c r="C1" s="132">
        <v>2.86E-2</v>
      </c>
      <c r="D1" s="219">
        <f>(B1+C1)/2</f>
        <v>2.7E-2</v>
      </c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x14ac:dyDescent="0.2">
      <c r="A3" s="13" t="s">
        <v>0</v>
      </c>
      <c r="B3" s="37" t="s">
        <v>28</v>
      </c>
      <c r="C3" s="37" t="str">
        <f>A1</f>
        <v>POLAND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44" t="s">
        <v>12</v>
      </c>
    </row>
    <row r="4" spans="1:17" s="3" customFormat="1" ht="17" x14ac:dyDescent="0.2">
      <c r="A4" s="14"/>
      <c r="B4" s="14"/>
      <c r="C4" s="120">
        <f>B1</f>
        <v>2.5399999999999999E-2</v>
      </c>
      <c r="D4" s="14"/>
      <c r="E4" s="15"/>
      <c r="F4" s="16"/>
      <c r="G4" s="144" t="s">
        <v>10</v>
      </c>
      <c r="H4" s="144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8" thickTop="1" thickBot="1" x14ac:dyDescent="0.25">
      <c r="A6" s="113">
        <v>2021</v>
      </c>
      <c r="B6" s="113">
        <v>2411.1</v>
      </c>
      <c r="C6" s="114">
        <f>B6*$C$4</f>
        <v>61.241939999999992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  <c r="P6" s="220"/>
      <c r="Q6" s="363"/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56.337199999999996</v>
      </c>
      <c r="D7" s="111"/>
      <c r="E7" s="112"/>
      <c r="F7" s="110"/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  <c r="P7" s="220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57.406539999999993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220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57.950099999999999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220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45.120559999999998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220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278.05633999999998</v>
      </c>
      <c r="D11" s="118">
        <f t="shared" ref="D11:O11" si="2">SUM(D6:D10)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0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64.956319999999991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63.717940000000006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56.356299999999997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68.37688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59.708219999999997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591.17199999999991</v>
      </c>
      <c r="D17" s="118">
        <f>SUM(D11:D16)</f>
        <v>0</v>
      </c>
      <c r="E17" s="118">
        <f t="shared" ref="E17:N17" si="4">SUM(E11:E16)</f>
        <v>0</v>
      </c>
      <c r="F17" s="118">
        <f>SUM(F11:F16)</f>
        <v>0</v>
      </c>
      <c r="G17" s="118">
        <f t="shared" si="4"/>
        <v>0</v>
      </c>
      <c r="H17" s="118">
        <f t="shared" si="4"/>
        <v>0</v>
      </c>
      <c r="I17" s="118">
        <f t="shared" si="4"/>
        <v>0</v>
      </c>
      <c r="J17" s="118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8">
        <f t="shared" si="4"/>
        <v>0</v>
      </c>
      <c r="O17" s="118">
        <f>SUM(O11:O16)</f>
        <v>0</v>
      </c>
    </row>
    <row r="18" spans="1:15" s="3" customFormat="1" ht="18" thickBot="1" x14ac:dyDescent="0.25">
      <c r="A18" s="5"/>
      <c r="B18" s="5"/>
      <c r="C18" s="5" t="s">
        <v>14</v>
      </c>
      <c r="D18" s="5"/>
      <c r="E18" s="364" t="s">
        <v>110</v>
      </c>
      <c r="F18" s="365"/>
      <c r="G18" s="366" t="s">
        <v>111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 t="e">
        <f>F17/O17</f>
        <v>#DIV/0!</v>
      </c>
      <c r="F19" s="373"/>
      <c r="G19" s="376" t="e">
        <f>H17/O17</f>
        <v>#DIV/0!</v>
      </c>
      <c r="H19" s="377"/>
      <c r="I19" s="142"/>
      <c r="J19" s="380" t="e">
        <f>(J17+L17)/O17</f>
        <v>#DIV/0!</v>
      </c>
      <c r="K19" s="381"/>
      <c r="L19" s="381"/>
      <c r="M19" s="381"/>
      <c r="N19" s="373"/>
      <c r="O19" s="384">
        <f>O17/C17</f>
        <v>0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 t="e">
        <f>SUM(E19+G19+J19)</f>
        <v>#DIV/0!</v>
      </c>
    </row>
    <row r="22" spans="1:15" x14ac:dyDescent="0.2">
      <c r="B22" s="128" t="s">
        <v>75</v>
      </c>
      <c r="C22" s="129">
        <f>26*(C17/B17)</f>
        <v>0.70200189995980855</v>
      </c>
      <c r="J22" s="1"/>
      <c r="K22" s="1"/>
      <c r="M22" s="1"/>
      <c r="N22" s="1"/>
      <c r="O22" s="1">
        <f>O17-C17</f>
        <v>-591.17199999999991</v>
      </c>
    </row>
    <row r="23" spans="1:15" x14ac:dyDescent="0.2">
      <c r="B23" s="128"/>
      <c r="C23" s="129" t="s">
        <v>112</v>
      </c>
      <c r="D23" s="2"/>
      <c r="F23" s="25" t="s">
        <v>14</v>
      </c>
      <c r="K23" s="25" t="s">
        <v>14</v>
      </c>
    </row>
  </sheetData>
  <mergeCells count="17">
    <mergeCell ref="Q6:Q7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A988E-426D-8C44-B4FA-AFD3D72852B6}">
  <dimension ref="A1:Q23"/>
  <sheetViews>
    <sheetView workbookViewId="0">
      <selection activeCell="N26" sqref="N26"/>
    </sheetView>
  </sheetViews>
  <sheetFormatPr baseColWidth="10" defaultRowHeight="16" x14ac:dyDescent="0.2"/>
  <cols>
    <col min="1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104</v>
      </c>
      <c r="B1" s="36">
        <v>5.1299999999999998E-2</v>
      </c>
      <c r="C1" s="132">
        <v>3.2800000000000003E-2</v>
      </c>
      <c r="D1" s="219">
        <f>(B1+C1)/2</f>
        <v>4.2050000000000004E-2</v>
      </c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x14ac:dyDescent="0.2">
      <c r="A3" s="13" t="s">
        <v>0</v>
      </c>
      <c r="B3" s="37" t="s">
        <v>28</v>
      </c>
      <c r="C3" s="37" t="str">
        <f>A1</f>
        <v>SPAIN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44" t="s">
        <v>12</v>
      </c>
    </row>
    <row r="4" spans="1:17" s="3" customFormat="1" ht="17" x14ac:dyDescent="0.2">
      <c r="A4" s="14"/>
      <c r="B4" s="14"/>
      <c r="C4" s="120">
        <f>B1</f>
        <v>5.1299999999999998E-2</v>
      </c>
      <c r="D4" s="14"/>
      <c r="E4" s="15"/>
      <c r="F4" s="16"/>
      <c r="G4" s="144" t="s">
        <v>10</v>
      </c>
      <c r="H4" s="144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8" thickTop="1" thickBot="1" x14ac:dyDescent="0.25">
      <c r="A6" s="113">
        <v>2021</v>
      </c>
      <c r="B6" s="113">
        <v>2411.1</v>
      </c>
      <c r="C6" s="114">
        <f>B6*$C$4</f>
        <v>123.68942999999999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  <c r="P6" s="220"/>
      <c r="Q6" s="363"/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113.7834</v>
      </c>
      <c r="D7" s="111"/>
      <c r="E7" s="112">
        <v>1</v>
      </c>
      <c r="F7" s="110">
        <f>1357.7/8*E7</f>
        <v>169.71250000000001</v>
      </c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169.71250000000001</v>
      </c>
      <c r="P7" s="220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115.94313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220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117.04095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220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91.129320000000007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220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561.58623</v>
      </c>
      <c r="D11" s="118">
        <f t="shared" ref="D11:O11" si="2">SUM(D6:D10)</f>
        <v>0</v>
      </c>
      <c r="E11" s="118">
        <f t="shared" si="2"/>
        <v>1</v>
      </c>
      <c r="F11" s="118">
        <f t="shared" si="2"/>
        <v>169.71250000000001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169.71250000000001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74.495360000000005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73.075120000000013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64.632400000000004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78.418240000000011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68.476560000000006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920.68390999999997</v>
      </c>
      <c r="D17" s="118">
        <f>SUM(D11:D16)</f>
        <v>0</v>
      </c>
      <c r="E17" s="118">
        <f t="shared" ref="E17:N17" si="4">SUM(E11:E16)</f>
        <v>1</v>
      </c>
      <c r="F17" s="118">
        <f>SUM(F11:F16)</f>
        <v>169.71250000000001</v>
      </c>
      <c r="G17" s="118">
        <f t="shared" si="4"/>
        <v>0</v>
      </c>
      <c r="H17" s="118">
        <f t="shared" si="4"/>
        <v>0</v>
      </c>
      <c r="I17" s="118">
        <f t="shared" si="4"/>
        <v>0</v>
      </c>
      <c r="J17" s="118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8">
        <f t="shared" si="4"/>
        <v>0</v>
      </c>
      <c r="O17" s="118">
        <f>SUM(O11:O16)</f>
        <v>169.71250000000001</v>
      </c>
    </row>
    <row r="18" spans="1:15" s="3" customFormat="1" ht="18" thickBot="1" x14ac:dyDescent="0.25">
      <c r="A18" s="5"/>
      <c r="B18" s="5"/>
      <c r="C18" s="5" t="s">
        <v>14</v>
      </c>
      <c r="D18" s="5"/>
      <c r="E18" s="364" t="s">
        <v>105</v>
      </c>
      <c r="F18" s="365"/>
      <c r="G18" s="366" t="s">
        <v>102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>
        <f>F17/O17</f>
        <v>1</v>
      </c>
      <c r="F19" s="373"/>
      <c r="G19" s="376">
        <f>H17/O17</f>
        <v>0</v>
      </c>
      <c r="H19" s="377"/>
      <c r="I19" s="142"/>
      <c r="J19" s="380">
        <f>(J17+L17)/O17</f>
        <v>0</v>
      </c>
      <c r="K19" s="381"/>
      <c r="L19" s="381"/>
      <c r="M19" s="381"/>
      <c r="N19" s="373"/>
      <c r="O19" s="384">
        <f>O17/C17</f>
        <v>0.18433307909117258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>
        <f>SUM(E19+G19+J19)</f>
        <v>1</v>
      </c>
    </row>
    <row r="22" spans="1:15" x14ac:dyDescent="0.2">
      <c r="B22" s="128" t="s">
        <v>75</v>
      </c>
      <c r="C22" s="129">
        <f>26*(C17/B17)</f>
        <v>1.0932890158573569</v>
      </c>
      <c r="J22" s="1"/>
      <c r="K22" s="1"/>
      <c r="M22" s="1"/>
      <c r="N22" s="1"/>
      <c r="O22" s="1">
        <f>O17-C17</f>
        <v>-750.97140999999999</v>
      </c>
    </row>
    <row r="23" spans="1:15" x14ac:dyDescent="0.2">
      <c r="B23" s="128"/>
      <c r="C23" s="129" t="s">
        <v>106</v>
      </c>
      <c r="D23" s="2"/>
      <c r="F23" s="25" t="s">
        <v>14</v>
      </c>
      <c r="K23" s="25" t="s">
        <v>14</v>
      </c>
    </row>
  </sheetData>
  <mergeCells count="17">
    <mergeCell ref="Q6:Q7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BB24-7E9B-154B-BA14-394B91676CF9}">
  <dimension ref="A1:Q23"/>
  <sheetViews>
    <sheetView workbookViewId="0">
      <selection sqref="A1:XFD1048576"/>
    </sheetView>
  </sheetViews>
  <sheetFormatPr baseColWidth="10" defaultRowHeight="16" x14ac:dyDescent="0.2"/>
  <cols>
    <col min="1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100</v>
      </c>
      <c r="B1" s="36">
        <v>7.6899999999999996E-2</v>
      </c>
      <c r="C1" s="132">
        <v>3.3099999999999997E-2</v>
      </c>
      <c r="D1" s="219">
        <f>(B1+C1)/2</f>
        <v>5.4999999999999993E-2</v>
      </c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customHeight="1" x14ac:dyDescent="0.2">
      <c r="A3" s="13" t="s">
        <v>0</v>
      </c>
      <c r="B3" s="37" t="s">
        <v>28</v>
      </c>
      <c r="C3" s="37" t="str">
        <f>A1</f>
        <v>SWEDEN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44" t="s">
        <v>12</v>
      </c>
    </row>
    <row r="4" spans="1:17" s="3" customFormat="1" ht="17" x14ac:dyDescent="0.2">
      <c r="A4" s="14"/>
      <c r="B4" s="14"/>
      <c r="C4" s="120">
        <f>B1</f>
        <v>7.6899999999999996E-2</v>
      </c>
      <c r="D4" s="14"/>
      <c r="E4" s="15"/>
      <c r="F4" s="16"/>
      <c r="G4" s="144" t="s">
        <v>10</v>
      </c>
      <c r="H4" s="144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customHeight="1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8" thickTop="1" thickBot="1" x14ac:dyDescent="0.25">
      <c r="A6" s="113">
        <v>2021</v>
      </c>
      <c r="B6" s="113">
        <v>2411.1</v>
      </c>
      <c r="C6" s="114">
        <f>B6*$C$4</f>
        <v>185.41358999999997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  <c r="P6" s="220"/>
      <c r="Q6" s="363"/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170.5642</v>
      </c>
      <c r="D7" s="111"/>
      <c r="E7" s="112"/>
      <c r="F7" s="110"/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  <c r="P7" s="220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173.80168999999998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220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175.44735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220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136.60516000000001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220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841.83198999999991</v>
      </c>
      <c r="D11" s="118">
        <f t="shared" ref="D11:O11" si="2">SUM(D6:D10)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0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75.176719999999989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73.743489999999994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65.223549999999989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79.135480000000001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69.102869999999996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1204.2140999999997</v>
      </c>
      <c r="D17" s="118">
        <f>SUM(D11:D16)</f>
        <v>0</v>
      </c>
      <c r="E17" s="118">
        <f t="shared" ref="E17:N17" si="4">SUM(E11:E16)</f>
        <v>0</v>
      </c>
      <c r="F17" s="118">
        <f>SUM(F11:F16)</f>
        <v>0</v>
      </c>
      <c r="G17" s="118">
        <f t="shared" si="4"/>
        <v>0</v>
      </c>
      <c r="H17" s="118">
        <f t="shared" si="4"/>
        <v>0</v>
      </c>
      <c r="I17" s="118">
        <f t="shared" si="4"/>
        <v>0</v>
      </c>
      <c r="J17" s="118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8">
        <f t="shared" si="4"/>
        <v>0</v>
      </c>
      <c r="O17" s="118">
        <f>SUM(O11:O16)</f>
        <v>0</v>
      </c>
    </row>
    <row r="18" spans="1:15" s="3" customFormat="1" ht="18" customHeight="1" thickBot="1" x14ac:dyDescent="0.25">
      <c r="A18" s="5"/>
      <c r="B18" s="5"/>
      <c r="C18" s="5" t="s">
        <v>14</v>
      </c>
      <c r="D18" s="5"/>
      <c r="E18" s="364" t="s">
        <v>101</v>
      </c>
      <c r="F18" s="365"/>
      <c r="G18" s="366" t="s">
        <v>102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 t="e">
        <f>F17/O17</f>
        <v>#DIV/0!</v>
      </c>
      <c r="F19" s="373"/>
      <c r="G19" s="376" t="e">
        <f>H17/O17</f>
        <v>#DIV/0!</v>
      </c>
      <c r="H19" s="377"/>
      <c r="I19" s="142"/>
      <c r="J19" s="380" t="e">
        <f>(J17+L17)/O17</f>
        <v>#DIV/0!</v>
      </c>
      <c r="K19" s="381"/>
      <c r="L19" s="381"/>
      <c r="M19" s="381"/>
      <c r="N19" s="373"/>
      <c r="O19" s="384">
        <f>O17/C17</f>
        <v>0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 t="e">
        <f>SUM(E19+G19+J19)</f>
        <v>#DIV/0!</v>
      </c>
    </row>
    <row r="22" spans="1:15" x14ac:dyDescent="0.2">
      <c r="B22" s="128" t="s">
        <v>75</v>
      </c>
      <c r="C22" s="129">
        <f>26*(C17/B17)</f>
        <v>1.4299739943001204</v>
      </c>
      <c r="J22" s="1"/>
      <c r="K22" s="1"/>
      <c r="M22" s="1"/>
      <c r="N22" s="1"/>
      <c r="O22" s="1">
        <f>O17-C17</f>
        <v>-1204.2140999999997</v>
      </c>
    </row>
    <row r="23" spans="1:15" x14ac:dyDescent="0.2">
      <c r="B23" s="128"/>
      <c r="C23" s="129" t="s">
        <v>103</v>
      </c>
      <c r="D23" s="2"/>
      <c r="F23" s="25" t="s">
        <v>14</v>
      </c>
      <c r="K23" s="25" t="s">
        <v>14</v>
      </c>
    </row>
  </sheetData>
  <mergeCells count="17">
    <mergeCell ref="A19:A20"/>
    <mergeCell ref="C19:C20"/>
    <mergeCell ref="D19:D20"/>
    <mergeCell ref="E19:F20"/>
    <mergeCell ref="G19:H20"/>
    <mergeCell ref="J19:N20"/>
    <mergeCell ref="Q6:Q7"/>
    <mergeCell ref="E18:F18"/>
    <mergeCell ref="G18:H18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91BA-E414-4743-A568-843B13FD3942}">
  <dimension ref="A1:Q23"/>
  <sheetViews>
    <sheetView workbookViewId="0">
      <selection activeCell="O35" sqref="O35"/>
    </sheetView>
  </sheetViews>
  <sheetFormatPr baseColWidth="10" defaultRowHeight="16" x14ac:dyDescent="0.2"/>
  <cols>
    <col min="1" max="1" width="12.5" style="25" customWidth="1"/>
    <col min="2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115</v>
      </c>
      <c r="B1" s="36">
        <v>2.5399999999999999E-2</v>
      </c>
      <c r="C1" s="132">
        <v>2.86E-2</v>
      </c>
      <c r="D1" s="219">
        <f>(B1+C1)/2</f>
        <v>2.7E-2</v>
      </c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x14ac:dyDescent="0.2">
      <c r="A3" s="13" t="s">
        <v>0</v>
      </c>
      <c r="B3" s="37" t="s">
        <v>28</v>
      </c>
      <c r="C3" s="37" t="str">
        <f>A1</f>
        <v>TURKEY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44" t="s">
        <v>12</v>
      </c>
    </row>
    <row r="4" spans="1:17" s="3" customFormat="1" ht="17" x14ac:dyDescent="0.2">
      <c r="A4" s="14"/>
      <c r="B4" s="14"/>
      <c r="C4" s="120">
        <f>B1</f>
        <v>2.5399999999999999E-2</v>
      </c>
      <c r="D4" s="14"/>
      <c r="E4" s="15"/>
      <c r="F4" s="16"/>
      <c r="G4" s="144" t="s">
        <v>10</v>
      </c>
      <c r="H4" s="144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8" thickTop="1" thickBot="1" x14ac:dyDescent="0.25">
      <c r="A6" s="113">
        <v>2021</v>
      </c>
      <c r="B6" s="113">
        <v>2411.1</v>
      </c>
      <c r="C6" s="114">
        <f>B6*$C$4</f>
        <v>61.241939999999992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  <c r="P6" s="220"/>
      <c r="Q6" s="363"/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56.337199999999996</v>
      </c>
      <c r="D7" s="111"/>
      <c r="E7" s="112"/>
      <c r="F7" s="110"/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  <c r="P7" s="220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57.406539999999993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220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57.950099999999999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220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45.120559999999998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220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278.05633999999998</v>
      </c>
      <c r="D11" s="118">
        <f t="shared" ref="D11:O11" si="2">SUM(D6:D10)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0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64.956319999999991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63.717940000000006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56.356299999999997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68.37688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59.708219999999997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591.17199999999991</v>
      </c>
      <c r="D17" s="118">
        <f>SUM(D11:D16)</f>
        <v>0</v>
      </c>
      <c r="E17" s="118">
        <f t="shared" ref="E17:N17" si="4">SUM(E11:E16)</f>
        <v>0</v>
      </c>
      <c r="F17" s="118">
        <f>SUM(F11:F16)</f>
        <v>0</v>
      </c>
      <c r="G17" s="118">
        <f t="shared" si="4"/>
        <v>0</v>
      </c>
      <c r="H17" s="118">
        <f t="shared" si="4"/>
        <v>0</v>
      </c>
      <c r="I17" s="118">
        <f t="shared" si="4"/>
        <v>0</v>
      </c>
      <c r="J17" s="118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8">
        <f t="shared" si="4"/>
        <v>0</v>
      </c>
      <c r="O17" s="118">
        <f>SUM(O11:O16)</f>
        <v>0</v>
      </c>
    </row>
    <row r="18" spans="1:15" s="3" customFormat="1" ht="18" thickBot="1" x14ac:dyDescent="0.25">
      <c r="A18" s="5"/>
      <c r="B18" s="5"/>
      <c r="C18" s="5" t="s">
        <v>14</v>
      </c>
      <c r="D18" s="5"/>
      <c r="E18" s="364" t="s">
        <v>110</v>
      </c>
      <c r="F18" s="365"/>
      <c r="G18" s="366" t="s">
        <v>111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 t="e">
        <f>F17/O17</f>
        <v>#DIV/0!</v>
      </c>
      <c r="F19" s="373"/>
      <c r="G19" s="376" t="e">
        <f>H17/O17</f>
        <v>#DIV/0!</v>
      </c>
      <c r="H19" s="377"/>
      <c r="I19" s="142"/>
      <c r="J19" s="380" t="e">
        <f>(J17+L17)/O17</f>
        <v>#DIV/0!</v>
      </c>
      <c r="K19" s="381"/>
      <c r="L19" s="381"/>
      <c r="M19" s="381"/>
      <c r="N19" s="373"/>
      <c r="O19" s="384">
        <f>O17/C17</f>
        <v>0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 t="e">
        <f>SUM(E19+G19+J19)</f>
        <v>#DIV/0!</v>
      </c>
    </row>
    <row r="22" spans="1:15" x14ac:dyDescent="0.2">
      <c r="B22" s="128" t="s">
        <v>75</v>
      </c>
      <c r="C22" s="129">
        <f>26*(C17/B17)</f>
        <v>0.70200189995980855</v>
      </c>
      <c r="J22" s="1"/>
      <c r="K22" s="1"/>
      <c r="M22" s="1"/>
      <c r="N22" s="1"/>
      <c r="O22" s="1">
        <f>O17-C17</f>
        <v>-591.17199999999991</v>
      </c>
    </row>
    <row r="23" spans="1:15" x14ac:dyDescent="0.2">
      <c r="B23" s="128"/>
      <c r="C23" s="129" t="s">
        <v>112</v>
      </c>
      <c r="D23" s="2"/>
      <c r="F23" s="25" t="s">
        <v>14</v>
      </c>
      <c r="K23" s="25" t="s">
        <v>14</v>
      </c>
    </row>
  </sheetData>
  <mergeCells count="17">
    <mergeCell ref="Q6:Q7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1E59-E803-2C43-A95C-362C1D712B4C}">
  <dimension ref="A1:Q23"/>
  <sheetViews>
    <sheetView workbookViewId="0">
      <selection sqref="A1:XFD1048576"/>
    </sheetView>
  </sheetViews>
  <sheetFormatPr baseColWidth="10" defaultRowHeight="16" x14ac:dyDescent="0.2"/>
  <cols>
    <col min="1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68</v>
      </c>
      <c r="B1" s="36">
        <v>0.15379999999999999</v>
      </c>
      <c r="C1" s="132">
        <f>(3318-C11)/(21895.2-10947.1)</f>
        <v>0.14928033357386214</v>
      </c>
      <c r="D1" s="131"/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customHeight="1" x14ac:dyDescent="0.2">
      <c r="A3" s="13" t="s">
        <v>0</v>
      </c>
      <c r="B3" s="37" t="s">
        <v>28</v>
      </c>
      <c r="C3" s="37" t="str">
        <f>A1</f>
        <v>UK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35" t="s">
        <v>12</v>
      </c>
    </row>
    <row r="4" spans="1:17" s="3" customFormat="1" ht="17" x14ac:dyDescent="0.2">
      <c r="A4" s="14"/>
      <c r="B4" s="14"/>
      <c r="C4" s="120">
        <f>B1</f>
        <v>0.15379999999999999</v>
      </c>
      <c r="D4" s="14"/>
      <c r="E4" s="15"/>
      <c r="F4" s="16"/>
      <c r="G4" s="135" t="s">
        <v>10</v>
      </c>
      <c r="H4" s="135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customHeight="1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9" thickTop="1" thickBot="1" x14ac:dyDescent="0.25">
      <c r="A6" s="113" t="s">
        <v>88</v>
      </c>
      <c r="B6" s="113">
        <v>2411.1</v>
      </c>
      <c r="C6" s="114">
        <f>B6*$C$4</f>
        <v>370.82717999999994</v>
      </c>
      <c r="D6" s="115"/>
      <c r="E6" s="116">
        <v>3</v>
      </c>
      <c r="F6" s="114">
        <v>617</v>
      </c>
      <c r="G6" s="113">
        <v>1</v>
      </c>
      <c r="H6" s="114">
        <v>112</v>
      </c>
      <c r="I6" s="114"/>
      <c r="J6" s="114">
        <f>28.8+50.34</f>
        <v>79.14</v>
      </c>
      <c r="K6" s="114"/>
      <c r="L6" s="113">
        <v>104</v>
      </c>
      <c r="M6" s="114"/>
      <c r="N6" s="114"/>
      <c r="O6" s="114">
        <f>F6+H6+J6+K6+L6+M6+N6</f>
        <v>912.14</v>
      </c>
      <c r="P6" s="397">
        <f>246-J6</f>
        <v>166.86</v>
      </c>
      <c r="Q6" s="363" t="s">
        <v>89</v>
      </c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341.1284</v>
      </c>
      <c r="D7" s="111"/>
      <c r="E7" s="112">
        <v>0</v>
      </c>
      <c r="F7" s="110"/>
      <c r="G7" s="109">
        <v>0</v>
      </c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  <c r="P7" s="397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347.60337999999996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397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350.8947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397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273.21032000000002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397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1683.6639799999998</v>
      </c>
      <c r="D11" s="118">
        <f t="shared" ref="D11:O11" si="2">SUM(D6:D10)</f>
        <v>0</v>
      </c>
      <c r="E11" s="118">
        <f t="shared" si="2"/>
        <v>3</v>
      </c>
      <c r="F11" s="118">
        <f t="shared" si="2"/>
        <v>617</v>
      </c>
      <c r="G11" s="118">
        <f t="shared" si="2"/>
        <v>1</v>
      </c>
      <c r="H11" s="118">
        <f t="shared" si="2"/>
        <v>112</v>
      </c>
      <c r="I11" s="118">
        <f t="shared" si="2"/>
        <v>0</v>
      </c>
      <c r="J11" s="118">
        <f t="shared" si="2"/>
        <v>79.14</v>
      </c>
      <c r="K11" s="118">
        <f t="shared" si="2"/>
        <v>0</v>
      </c>
      <c r="L11" s="118">
        <f t="shared" si="2"/>
        <v>104</v>
      </c>
      <c r="M11" s="118">
        <f t="shared" si="2"/>
        <v>0</v>
      </c>
      <c r="N11" s="118">
        <f t="shared" si="2"/>
        <v>0</v>
      </c>
      <c r="O11" s="118">
        <f t="shared" si="2"/>
        <v>912.14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339.04549361295568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332.58165516920747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294.15689730729537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356.89942150838965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311.65255240215197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3318</v>
      </c>
      <c r="D17" s="118">
        <f>SUM(D11:D16)</f>
        <v>0</v>
      </c>
      <c r="E17" s="118">
        <f t="shared" ref="E17:N17" si="4">SUM(E11:E16)</f>
        <v>3</v>
      </c>
      <c r="F17" s="118">
        <f>SUM(F11:F16)</f>
        <v>617</v>
      </c>
      <c r="G17" s="118">
        <f t="shared" si="4"/>
        <v>1</v>
      </c>
      <c r="H17" s="118">
        <f t="shared" si="4"/>
        <v>112</v>
      </c>
      <c r="I17" s="118">
        <f t="shared" si="4"/>
        <v>0</v>
      </c>
      <c r="J17" s="118">
        <f t="shared" si="4"/>
        <v>79.14</v>
      </c>
      <c r="K17" s="118">
        <f t="shared" si="4"/>
        <v>0</v>
      </c>
      <c r="L17" s="118">
        <f t="shared" si="4"/>
        <v>104</v>
      </c>
      <c r="M17" s="118">
        <f t="shared" si="4"/>
        <v>0</v>
      </c>
      <c r="N17" s="118">
        <f t="shared" si="4"/>
        <v>0</v>
      </c>
      <c r="O17" s="118">
        <f>SUM(O11:O16)</f>
        <v>912.14</v>
      </c>
    </row>
    <row r="18" spans="1:15" s="3" customFormat="1" ht="18" customHeight="1" thickBot="1" x14ac:dyDescent="0.25">
      <c r="A18" s="5"/>
      <c r="B18" s="5"/>
      <c r="C18" s="5" t="s">
        <v>14</v>
      </c>
      <c r="D18" s="5"/>
      <c r="E18" s="364" t="s">
        <v>90</v>
      </c>
      <c r="F18" s="365"/>
      <c r="G18" s="366" t="s">
        <v>91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36"/>
      <c r="C19" s="370" t="s">
        <v>7</v>
      </c>
      <c r="D19" s="368"/>
      <c r="E19" s="372">
        <f>F17/O17</f>
        <v>0.6764312495888789</v>
      </c>
      <c r="F19" s="373"/>
      <c r="G19" s="376">
        <f>H17/O17</f>
        <v>0.12278816848290833</v>
      </c>
      <c r="H19" s="377"/>
      <c r="I19" s="133"/>
      <c r="J19" s="380">
        <f>(J17+L17)/O17</f>
        <v>0.20078058192821277</v>
      </c>
      <c r="K19" s="381"/>
      <c r="L19" s="381"/>
      <c r="M19" s="381"/>
      <c r="N19" s="373"/>
      <c r="O19" s="384">
        <f>O17/C17</f>
        <v>0.27490657022302589</v>
      </c>
    </row>
    <row r="20" spans="1:15" s="3" customFormat="1" ht="17" thickBot="1" x14ac:dyDescent="0.25">
      <c r="A20" s="369"/>
      <c r="B20" s="137"/>
      <c r="C20" s="371"/>
      <c r="D20" s="369"/>
      <c r="E20" s="374"/>
      <c r="F20" s="375"/>
      <c r="G20" s="378"/>
      <c r="H20" s="379"/>
      <c r="I20" s="134"/>
      <c r="J20" s="382"/>
      <c r="K20" s="383"/>
      <c r="L20" s="383"/>
      <c r="M20" s="383"/>
      <c r="N20" s="375"/>
      <c r="O20" s="385"/>
    </row>
    <row r="21" spans="1:15" x14ac:dyDescent="0.2">
      <c r="O21" s="23">
        <f>SUM(E19+G19+J19)</f>
        <v>1</v>
      </c>
    </row>
    <row r="22" spans="1:15" x14ac:dyDescent="0.2">
      <c r="B22" s="128" t="s">
        <v>75</v>
      </c>
      <c r="C22" s="129">
        <f>26*(C17/B17)</f>
        <v>3.9400416529650339</v>
      </c>
      <c r="J22" s="1"/>
      <c r="K22" s="1"/>
      <c r="M22" s="1"/>
      <c r="N22" s="1"/>
      <c r="O22" s="1">
        <f>O17-C17</f>
        <v>-2405.86</v>
      </c>
    </row>
    <row r="23" spans="1:15" x14ac:dyDescent="0.2">
      <c r="B23" s="128"/>
      <c r="C23" s="129" t="s">
        <v>91</v>
      </c>
      <c r="D23" s="2"/>
      <c r="F23" s="25" t="s">
        <v>14</v>
      </c>
      <c r="K23" s="25" t="s">
        <v>14</v>
      </c>
    </row>
  </sheetData>
  <mergeCells count="19">
    <mergeCell ref="B2:C2"/>
    <mergeCell ref="E3:F3"/>
    <mergeCell ref="G3:H3"/>
    <mergeCell ref="I3:J3"/>
    <mergeCell ref="E5:F5"/>
    <mergeCell ref="G5:H5"/>
    <mergeCell ref="I5:J5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P6:P7"/>
    <mergeCell ref="Q6:Q7"/>
    <mergeCell ref="P8:P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257B-7ED4-B641-8D0D-CD75C4765C15}">
  <dimension ref="A4:S65"/>
  <sheetViews>
    <sheetView topLeftCell="A12" workbookViewId="0">
      <selection activeCell="M18" sqref="M18"/>
    </sheetView>
  </sheetViews>
  <sheetFormatPr baseColWidth="10" defaultRowHeight="16" x14ac:dyDescent="0.2"/>
  <cols>
    <col min="2" max="2" width="17.6640625" customWidth="1"/>
    <col min="3" max="6" width="10.83203125" customWidth="1"/>
    <col min="17" max="17" width="10.83203125" style="189"/>
  </cols>
  <sheetData>
    <row r="4" spans="1:19" ht="21" x14ac:dyDescent="0.25">
      <c r="B4" s="82" t="s">
        <v>22</v>
      </c>
    </row>
    <row r="5" spans="1:19" ht="17" thickBot="1" x14ac:dyDescent="0.25"/>
    <row r="6" spans="1:19" ht="17" x14ac:dyDescent="0.2">
      <c r="B6" s="39" t="s">
        <v>32</v>
      </c>
      <c r="C6" s="40">
        <v>2021</v>
      </c>
      <c r="D6" s="40">
        <v>2022</v>
      </c>
      <c r="E6" s="40">
        <v>2023</v>
      </c>
      <c r="F6" s="40">
        <v>2024</v>
      </c>
      <c r="G6" s="100">
        <v>2025</v>
      </c>
      <c r="H6" s="101" t="s">
        <v>18</v>
      </c>
      <c r="I6" s="72">
        <v>2026</v>
      </c>
      <c r="J6" s="40">
        <v>2027</v>
      </c>
      <c r="K6" s="40">
        <v>2028</v>
      </c>
      <c r="L6" s="40">
        <v>2029</v>
      </c>
      <c r="M6" s="40">
        <v>2030</v>
      </c>
      <c r="N6" s="40" t="s">
        <v>19</v>
      </c>
      <c r="O6" s="328" t="s">
        <v>17</v>
      </c>
    </row>
    <row r="7" spans="1:19" ht="18" thickBot="1" x14ac:dyDescent="0.25">
      <c r="C7" s="41" t="s">
        <v>45</v>
      </c>
      <c r="D7" s="41" t="s">
        <v>46</v>
      </c>
      <c r="E7" s="41" t="s">
        <v>47</v>
      </c>
      <c r="F7" s="41" t="s">
        <v>48</v>
      </c>
      <c r="G7" s="85" t="s">
        <v>49</v>
      </c>
      <c r="H7" s="154"/>
      <c r="I7" s="86" t="s">
        <v>50</v>
      </c>
      <c r="J7" s="41" t="s">
        <v>51</v>
      </c>
      <c r="K7" s="41" t="s">
        <v>52</v>
      </c>
      <c r="L7" s="41" t="s">
        <v>53</v>
      </c>
      <c r="M7" s="41" t="s">
        <v>54</v>
      </c>
      <c r="N7" s="41"/>
      <c r="O7" s="330"/>
    </row>
    <row r="8" spans="1:19" x14ac:dyDescent="0.2">
      <c r="B8" t="s">
        <v>33</v>
      </c>
      <c r="C8" s="42">
        <v>7</v>
      </c>
      <c r="D8" s="43">
        <v>8</v>
      </c>
      <c r="E8" s="43">
        <v>8</v>
      </c>
      <c r="F8" s="43">
        <v>8</v>
      </c>
      <c r="G8" s="44">
        <v>8</v>
      </c>
      <c r="H8" s="155">
        <f>SUM(C8:G8)</f>
        <v>39</v>
      </c>
      <c r="I8" s="42">
        <v>8</v>
      </c>
      <c r="J8" s="43">
        <v>7</v>
      </c>
      <c r="K8" s="43">
        <v>8</v>
      </c>
      <c r="L8" s="43">
        <v>8</v>
      </c>
      <c r="M8" s="43">
        <v>8</v>
      </c>
      <c r="N8" s="44">
        <f>SUM(I8:M8)</f>
        <v>39</v>
      </c>
      <c r="O8" s="156">
        <f>H8+N8</f>
        <v>78</v>
      </c>
    </row>
    <row r="9" spans="1:19" ht="17" thickBot="1" x14ac:dyDescent="0.25">
      <c r="B9" t="s">
        <v>21</v>
      </c>
      <c r="C9" s="47">
        <v>2</v>
      </c>
      <c r="D9" s="48">
        <v>2</v>
      </c>
      <c r="E9" s="48">
        <v>3</v>
      </c>
      <c r="F9" s="48">
        <v>2</v>
      </c>
      <c r="G9" s="49">
        <v>2</v>
      </c>
      <c r="H9" s="157">
        <f>SUM(C9:G9)</f>
        <v>11</v>
      </c>
      <c r="I9" s="47">
        <v>3</v>
      </c>
      <c r="J9" s="48">
        <v>3</v>
      </c>
      <c r="K9" s="48">
        <v>3</v>
      </c>
      <c r="L9" s="48">
        <v>3</v>
      </c>
      <c r="M9" s="48">
        <v>3</v>
      </c>
      <c r="N9" s="49">
        <f>SUM(I9:M9)</f>
        <v>15</v>
      </c>
      <c r="O9" s="158">
        <f t="shared" ref="O9:O11" si="0">H9+N9</f>
        <v>26</v>
      </c>
    </row>
    <row r="10" spans="1:19" ht="18" thickBot="1" x14ac:dyDescent="0.25">
      <c r="B10" s="51" t="s">
        <v>36</v>
      </c>
      <c r="C10" s="52">
        <f>C8*206.5*1.015^(C6-2020)*(1-(C8-1)*0.03) + C8*1.6*1.015^(C6-2020)</f>
        <v>1214.4576499999998</v>
      </c>
      <c r="D10" s="53">
        <f>D8*206.5*1.015^(D6-2020)*(1-(D8-1)*0.03) + D8*1.6*1.015^(D6-2020)</f>
        <v>1357.7129229999998</v>
      </c>
      <c r="E10" s="53">
        <f t="shared" ref="E10:J10" si="1">E8*206.5*1.015^(E6-2020)*(1-(E8-1)*0.03) + E8*1.6*1.015^(E6-2020)</f>
        <v>1378.0786168449995</v>
      </c>
      <c r="F10" s="53">
        <f t="shared" si="1"/>
        <v>1398.7497960976743</v>
      </c>
      <c r="G10" s="54">
        <f t="shared" si="1"/>
        <v>1419.7310430391392</v>
      </c>
      <c r="H10" s="159">
        <f t="shared" ref="H10:H11" si="2">SUM(C10:G10)</f>
        <v>6768.7300289818122</v>
      </c>
      <c r="I10" s="52">
        <f t="shared" si="1"/>
        <v>1441.0270086847263</v>
      </c>
      <c r="J10" s="53">
        <f t="shared" si="1"/>
        <v>1327.9405367361078</v>
      </c>
      <c r="K10" s="53">
        <f>K8*206.5*1.015^(K6-2020)*(1-(K8-2)*0.03) + K8*1.6*1.015^(K6-2020)</f>
        <v>1540.4110226138848</v>
      </c>
      <c r="L10" s="53">
        <f>L8*206.5*1.015^(L6-2020)*(1-(L8-2)*0.03) + L8*1.6*1.015^(L6-2020)</f>
        <v>1563.5171879530931</v>
      </c>
      <c r="M10" s="53">
        <f>M8*206.5*1.015^(M6-2020)*(1-(M8-2)*0.03) + M8*1.6*1.015^(M6-2020)</f>
        <v>1586.9699457723893</v>
      </c>
      <c r="N10" s="160">
        <f t="shared" ref="N10:N11" si="3">SUM(I10:M10)</f>
        <v>7459.8657017602018</v>
      </c>
      <c r="O10" s="158">
        <f>H10+N10</f>
        <v>14228.595730742014</v>
      </c>
    </row>
    <row r="11" spans="1:19" ht="18" thickBot="1" x14ac:dyDescent="0.25">
      <c r="B11" s="56" t="s">
        <v>38</v>
      </c>
      <c r="C11" s="60">
        <f>C9*115*1.015^(C6-2019)*(1-(0.025*C9))</f>
        <v>225.10416249999994</v>
      </c>
      <c r="D11" s="61">
        <f t="shared" ref="D11:M11" si="4">D9*115*1.015^(D6-2019)*(1-(0.025*D9))</f>
        <v>228.4807249374999</v>
      </c>
      <c r="E11" s="61">
        <f t="shared" si="4"/>
        <v>338.70764309320299</v>
      </c>
      <c r="F11" s="61">
        <f t="shared" si="4"/>
        <v>235.38655484873576</v>
      </c>
      <c r="G11" s="62">
        <f>G9*115*1.015^(G6-2019)*(1-(0.025*G9))</f>
        <v>238.91735317146677</v>
      </c>
      <c r="H11" s="161">
        <f t="shared" si="2"/>
        <v>1266.5964385509055</v>
      </c>
      <c r="I11" s="60">
        <f t="shared" si="4"/>
        <v>354.17925782978023</v>
      </c>
      <c r="J11" s="61">
        <f t="shared" si="4"/>
        <v>359.49194669722698</v>
      </c>
      <c r="K11" s="61">
        <f t="shared" si="4"/>
        <v>364.8843258976853</v>
      </c>
      <c r="L11" s="61">
        <f t="shared" si="4"/>
        <v>370.35759078615052</v>
      </c>
      <c r="M11" s="61">
        <f t="shared" si="4"/>
        <v>375.91295464794274</v>
      </c>
      <c r="N11" s="162">
        <f t="shared" si="3"/>
        <v>1824.8260758587858</v>
      </c>
      <c r="O11" s="163">
        <f t="shared" si="0"/>
        <v>3091.4225144096913</v>
      </c>
    </row>
    <row r="13" spans="1:19" ht="17" thickBot="1" x14ac:dyDescent="0.25"/>
    <row r="14" spans="1:19" ht="17" customHeight="1" x14ac:dyDescent="0.2">
      <c r="C14" s="338" t="s">
        <v>18</v>
      </c>
      <c r="D14" s="138"/>
      <c r="E14" s="138"/>
      <c r="F14" s="340" t="s">
        <v>19</v>
      </c>
      <c r="G14" s="138"/>
      <c r="H14" s="164"/>
      <c r="I14" s="336" t="s">
        <v>17</v>
      </c>
      <c r="J14" s="336"/>
      <c r="K14" s="336"/>
      <c r="Q14"/>
      <c r="S14" s="189"/>
    </row>
    <row r="15" spans="1:19" ht="17" thickBot="1" x14ac:dyDescent="0.25">
      <c r="C15" s="339"/>
      <c r="D15" s="139"/>
      <c r="E15" s="139"/>
      <c r="F15" s="341"/>
      <c r="G15" s="139"/>
      <c r="H15" s="85"/>
      <c r="I15" s="337"/>
      <c r="J15" s="337"/>
      <c r="K15" s="347"/>
      <c r="Q15"/>
      <c r="S15" s="189"/>
    </row>
    <row r="16" spans="1:19" ht="16" customHeight="1" x14ac:dyDescent="0.2">
      <c r="A16" s="342" t="s">
        <v>74</v>
      </c>
      <c r="B16" s="94"/>
      <c r="C16" s="104"/>
      <c r="D16" s="105"/>
      <c r="E16" s="104"/>
      <c r="F16" s="104"/>
      <c r="G16" s="205"/>
      <c r="H16" s="211"/>
      <c r="I16" s="208"/>
      <c r="J16" s="216"/>
      <c r="K16" s="168"/>
      <c r="Q16"/>
      <c r="S16" s="189"/>
    </row>
    <row r="17" spans="1:19" x14ac:dyDescent="0.2">
      <c r="A17" s="334"/>
      <c r="B17" s="95" t="s">
        <v>60</v>
      </c>
      <c r="C17" s="102">
        <v>0.33</v>
      </c>
      <c r="D17" s="87">
        <v>278</v>
      </c>
      <c r="E17" s="212">
        <f>D17/$D$28</f>
        <v>2.5397405444911383E-2</v>
      </c>
      <c r="F17" s="103">
        <f t="shared" ref="F17:F27" si="5">I17-C17</f>
        <v>0.36999999999999994</v>
      </c>
      <c r="G17" s="206">
        <f t="shared" ref="G17:G27" si="6">J17-D17</f>
        <v>313</v>
      </c>
      <c r="H17" s="214">
        <f>G17/$G$28</f>
        <v>2.858186466989316E-2</v>
      </c>
      <c r="I17" s="209">
        <v>0.7</v>
      </c>
      <c r="J17" s="217">
        <v>591</v>
      </c>
      <c r="K17" s="214">
        <f>J17/$J$28</f>
        <v>2.6989998629949309E-2</v>
      </c>
      <c r="Q17"/>
      <c r="S17" s="189"/>
    </row>
    <row r="18" spans="1:19" ht="16" customHeight="1" x14ac:dyDescent="0.2">
      <c r="A18" s="334"/>
      <c r="B18" s="95" t="s">
        <v>61</v>
      </c>
      <c r="C18" s="102">
        <v>0.33</v>
      </c>
      <c r="D18" s="87">
        <v>278</v>
      </c>
      <c r="E18" s="212">
        <f t="shared" ref="E18:E27" si="7">D18/$D$28</f>
        <v>2.5397405444911383E-2</v>
      </c>
      <c r="F18" s="103">
        <f t="shared" si="5"/>
        <v>0.36999999999999994</v>
      </c>
      <c r="G18" s="206">
        <f t="shared" si="6"/>
        <v>313</v>
      </c>
      <c r="H18" s="214">
        <f t="shared" ref="H18:H27" si="8">G18/$G$28</f>
        <v>2.858186466989316E-2</v>
      </c>
      <c r="I18" s="209">
        <v>0.7</v>
      </c>
      <c r="J18" s="217">
        <v>591</v>
      </c>
      <c r="K18" s="214">
        <f t="shared" ref="K18:K27" si="9">J18/$J$28</f>
        <v>2.6989998629949309E-2</v>
      </c>
      <c r="Q18"/>
      <c r="S18" s="189"/>
    </row>
    <row r="19" spans="1:19" x14ac:dyDescent="0.2">
      <c r="A19" s="334"/>
      <c r="B19" s="95" t="s">
        <v>29</v>
      </c>
      <c r="C19" s="102">
        <v>2.67</v>
      </c>
      <c r="D19" s="87">
        <v>2249</v>
      </c>
      <c r="E19" s="212">
        <f t="shared" si="7"/>
        <v>0.20546318289786222</v>
      </c>
      <c r="F19" s="103">
        <f t="shared" si="5"/>
        <v>2.67</v>
      </c>
      <c r="G19" s="206">
        <f t="shared" si="6"/>
        <v>2251</v>
      </c>
      <c r="H19" s="214">
        <f t="shared" si="8"/>
        <v>0.20555200438316135</v>
      </c>
      <c r="I19" s="209">
        <v>5.34</v>
      </c>
      <c r="J19" s="217">
        <v>4500</v>
      </c>
      <c r="K19" s="214">
        <f t="shared" si="9"/>
        <v>0.20550760378133992</v>
      </c>
      <c r="Q19"/>
      <c r="S19" s="189"/>
    </row>
    <row r="20" spans="1:19" x14ac:dyDescent="0.2">
      <c r="A20" s="334"/>
      <c r="B20" s="95" t="s">
        <v>30</v>
      </c>
      <c r="C20" s="102">
        <v>2.67</v>
      </c>
      <c r="D20" s="87">
        <v>2249</v>
      </c>
      <c r="E20" s="212">
        <f t="shared" si="7"/>
        <v>0.20546318289786222</v>
      </c>
      <c r="F20" s="103">
        <f t="shared" si="5"/>
        <v>2.67</v>
      </c>
      <c r="G20" s="206">
        <f t="shared" si="6"/>
        <v>2251</v>
      </c>
      <c r="H20" s="214">
        <f t="shared" si="8"/>
        <v>0.20555200438316135</v>
      </c>
      <c r="I20" s="209">
        <v>5.34</v>
      </c>
      <c r="J20" s="217">
        <v>4500</v>
      </c>
      <c r="K20" s="214">
        <f t="shared" si="9"/>
        <v>0.20550760378133992</v>
      </c>
      <c r="Q20"/>
      <c r="S20" s="189"/>
    </row>
    <row r="21" spans="1:19" x14ac:dyDescent="0.2">
      <c r="A21" s="334"/>
      <c r="B21" s="95" t="s">
        <v>62</v>
      </c>
      <c r="C21" s="102">
        <v>0</v>
      </c>
      <c r="D21" s="87">
        <v>0</v>
      </c>
      <c r="E21" s="212">
        <f t="shared" si="7"/>
        <v>0</v>
      </c>
      <c r="F21" s="103">
        <f t="shared" si="5"/>
        <v>0.7</v>
      </c>
      <c r="G21" s="206">
        <f t="shared" si="6"/>
        <v>591</v>
      </c>
      <c r="H21" s="214">
        <f t="shared" si="8"/>
        <v>5.3967674185005934E-2</v>
      </c>
      <c r="I21" s="209">
        <v>0.7</v>
      </c>
      <c r="J21" s="217">
        <v>591</v>
      </c>
      <c r="K21" s="214">
        <f t="shared" si="9"/>
        <v>2.6989998629949309E-2</v>
      </c>
      <c r="Q21"/>
      <c r="S21" s="189"/>
    </row>
    <row r="22" spans="1:19" x14ac:dyDescent="0.2">
      <c r="A22" s="334"/>
      <c r="B22" s="95" t="s">
        <v>63</v>
      </c>
      <c r="C22" s="102">
        <v>2.67</v>
      </c>
      <c r="D22" s="87">
        <v>2249</v>
      </c>
      <c r="E22" s="212">
        <f t="shared" si="7"/>
        <v>0.20546318289786222</v>
      </c>
      <c r="F22" s="103">
        <f t="shared" si="5"/>
        <v>2.67</v>
      </c>
      <c r="G22" s="206">
        <f t="shared" si="6"/>
        <v>2251</v>
      </c>
      <c r="H22" s="214">
        <f t="shared" si="8"/>
        <v>0.20555200438316135</v>
      </c>
      <c r="I22" s="209">
        <v>5.34</v>
      </c>
      <c r="J22" s="217">
        <v>4500</v>
      </c>
      <c r="K22" s="214">
        <f t="shared" si="9"/>
        <v>0.20550760378133992</v>
      </c>
      <c r="Q22"/>
      <c r="S22" s="189"/>
    </row>
    <row r="23" spans="1:19" x14ac:dyDescent="0.2">
      <c r="A23" s="334"/>
      <c r="B23" s="95" t="s">
        <v>64</v>
      </c>
      <c r="C23" s="102">
        <v>0.33</v>
      </c>
      <c r="D23" s="87">
        <v>278</v>
      </c>
      <c r="E23" s="212">
        <f t="shared" si="7"/>
        <v>2.5397405444911383E-2</v>
      </c>
      <c r="F23" s="103">
        <f t="shared" si="5"/>
        <v>0.36999999999999994</v>
      </c>
      <c r="G23" s="206">
        <f t="shared" si="6"/>
        <v>313</v>
      </c>
      <c r="H23" s="214">
        <f t="shared" si="8"/>
        <v>2.858186466989316E-2</v>
      </c>
      <c r="I23" s="209">
        <v>0.7</v>
      </c>
      <c r="J23" s="217">
        <v>591</v>
      </c>
      <c r="K23" s="214">
        <f t="shared" si="9"/>
        <v>2.6989998629949309E-2</v>
      </c>
      <c r="Q23"/>
      <c r="S23" s="189"/>
    </row>
    <row r="24" spans="1:19" x14ac:dyDescent="0.2">
      <c r="A24" s="334"/>
      <c r="B24" s="95" t="s">
        <v>65</v>
      </c>
      <c r="C24" s="102">
        <v>0.67</v>
      </c>
      <c r="D24" s="89">
        <v>561</v>
      </c>
      <c r="E24" s="212">
        <f t="shared" si="7"/>
        <v>5.1251598757537001E-2</v>
      </c>
      <c r="F24" s="103">
        <f t="shared" si="5"/>
        <v>0.43000000000000005</v>
      </c>
      <c r="G24" s="206">
        <f t="shared" si="6"/>
        <v>359</v>
      </c>
      <c r="H24" s="214">
        <f t="shared" si="8"/>
        <v>3.2782394301890241E-2</v>
      </c>
      <c r="I24" s="209">
        <v>1.1000000000000001</v>
      </c>
      <c r="J24" s="217">
        <v>920</v>
      </c>
      <c r="K24" s="214">
        <f t="shared" si="9"/>
        <v>4.2014887884185045E-2</v>
      </c>
      <c r="L24" t="s">
        <v>14</v>
      </c>
      <c r="M24" t="s">
        <v>14</v>
      </c>
      <c r="Q24"/>
      <c r="S24" s="189"/>
    </row>
    <row r="25" spans="1:19" x14ac:dyDescent="0.2">
      <c r="A25" s="334"/>
      <c r="B25" s="95" t="s">
        <v>66</v>
      </c>
      <c r="C25" s="102">
        <v>1</v>
      </c>
      <c r="D25" s="89">
        <v>842</v>
      </c>
      <c r="E25" s="212">
        <f t="shared" si="7"/>
        <v>7.6923076923076927E-2</v>
      </c>
      <c r="F25" s="103">
        <f t="shared" si="5"/>
        <v>0.43999999999999995</v>
      </c>
      <c r="G25" s="206">
        <f t="shared" si="6"/>
        <v>362</v>
      </c>
      <c r="H25" s="214">
        <f t="shared" si="8"/>
        <v>3.3056341886585697E-2</v>
      </c>
      <c r="I25" s="209">
        <v>1.44</v>
      </c>
      <c r="J25" s="217">
        <v>1204</v>
      </c>
      <c r="K25" s="214">
        <f t="shared" si="9"/>
        <v>5.4984701100607387E-2</v>
      </c>
      <c r="Q25"/>
      <c r="S25" s="189"/>
    </row>
    <row r="26" spans="1:19" x14ac:dyDescent="0.2">
      <c r="A26" s="334"/>
      <c r="B26" s="95" t="s">
        <v>67</v>
      </c>
      <c r="C26" s="102">
        <v>0.33</v>
      </c>
      <c r="D26" s="89">
        <v>278</v>
      </c>
      <c r="E26" s="212">
        <f t="shared" si="7"/>
        <v>2.5397405444911383E-2</v>
      </c>
      <c r="F26" s="103">
        <f t="shared" si="5"/>
        <v>0.36999999999999994</v>
      </c>
      <c r="G26" s="206">
        <f t="shared" si="6"/>
        <v>313</v>
      </c>
      <c r="H26" s="214">
        <f t="shared" si="8"/>
        <v>2.858186466989316E-2</v>
      </c>
      <c r="I26" s="209">
        <v>0.7</v>
      </c>
      <c r="J26" s="217">
        <v>591</v>
      </c>
      <c r="K26" s="214">
        <f t="shared" si="9"/>
        <v>2.6989998629949309E-2</v>
      </c>
      <c r="Q26"/>
      <c r="S26" s="189"/>
    </row>
    <row r="27" spans="1:19" x14ac:dyDescent="0.2">
      <c r="A27" s="334"/>
      <c r="B27" s="95" t="s">
        <v>68</v>
      </c>
      <c r="C27" s="102">
        <v>2</v>
      </c>
      <c r="D27" s="89">
        <v>1684</v>
      </c>
      <c r="E27" s="212">
        <f t="shared" si="7"/>
        <v>0.15384615384615385</v>
      </c>
      <c r="F27" s="103">
        <f t="shared" si="5"/>
        <v>1.94</v>
      </c>
      <c r="G27" s="206">
        <f t="shared" si="6"/>
        <v>1634</v>
      </c>
      <c r="H27" s="214">
        <f t="shared" si="8"/>
        <v>0.14921011779746141</v>
      </c>
      <c r="I27" s="209">
        <v>3.94</v>
      </c>
      <c r="J27" s="217">
        <v>3318</v>
      </c>
      <c r="K27" s="214">
        <f t="shared" si="9"/>
        <v>0.15152760652144129</v>
      </c>
      <c r="Q27"/>
      <c r="S27" s="189"/>
    </row>
    <row r="28" spans="1:19" ht="17" thickBot="1" x14ac:dyDescent="0.25">
      <c r="A28" s="335"/>
      <c r="B28" s="106" t="s">
        <v>70</v>
      </c>
      <c r="C28" s="107">
        <f>SUM(C17:C27)</f>
        <v>13</v>
      </c>
      <c r="D28" s="108">
        <f t="shared" ref="D28" si="10">SUM(D17:D27)</f>
        <v>10946</v>
      </c>
      <c r="E28" s="213">
        <f t="shared" ref="E28:K28" si="11">SUM(E17:E27)</f>
        <v>1.0000000000000002</v>
      </c>
      <c r="F28" s="107">
        <f t="shared" si="11"/>
        <v>12.999999999999996</v>
      </c>
      <c r="G28" s="207">
        <f t="shared" si="11"/>
        <v>10951</v>
      </c>
      <c r="H28" s="215">
        <f t="shared" si="11"/>
        <v>1</v>
      </c>
      <c r="I28" s="210">
        <f t="shared" si="11"/>
        <v>26</v>
      </c>
      <c r="J28" s="218">
        <f t="shared" si="11"/>
        <v>21897</v>
      </c>
      <c r="K28" s="215">
        <f t="shared" si="11"/>
        <v>1.0000000000000002</v>
      </c>
      <c r="Q28"/>
      <c r="S28" s="189"/>
    </row>
    <row r="30" spans="1:19" x14ac:dyDescent="0.2">
      <c r="M30" t="s">
        <v>14</v>
      </c>
    </row>
    <row r="31" spans="1:19" ht="21" x14ac:dyDescent="0.25">
      <c r="B31" s="82" t="s">
        <v>69</v>
      </c>
    </row>
    <row r="32" spans="1:19" ht="17" thickBot="1" x14ac:dyDescent="0.25">
      <c r="P32" s="189"/>
      <c r="Q32"/>
    </row>
    <row r="33" spans="1:19" ht="17" x14ac:dyDescent="0.2">
      <c r="B33" s="310" t="s">
        <v>32</v>
      </c>
      <c r="C33" s="40">
        <v>2021</v>
      </c>
      <c r="D33" s="138">
        <v>2022</v>
      </c>
      <c r="E33" s="138">
        <v>2023</v>
      </c>
      <c r="F33" s="138">
        <v>2024</v>
      </c>
      <c r="G33" s="40">
        <v>2025</v>
      </c>
      <c r="H33" s="290" t="s">
        <v>18</v>
      </c>
      <c r="I33" s="343" t="s">
        <v>97</v>
      </c>
      <c r="J33" s="72">
        <v>2026</v>
      </c>
      <c r="K33" s="40">
        <v>2027</v>
      </c>
      <c r="L33" s="40">
        <v>2028</v>
      </c>
      <c r="M33" s="40">
        <v>2029</v>
      </c>
      <c r="N33" s="40">
        <v>2030</v>
      </c>
      <c r="O33" s="185" t="s">
        <v>19</v>
      </c>
      <c r="P33" s="348" t="s">
        <v>17</v>
      </c>
      <c r="Q33" s="350" t="s">
        <v>108</v>
      </c>
      <c r="R33" s="345" t="s">
        <v>108</v>
      </c>
    </row>
    <row r="34" spans="1:19" ht="34" customHeight="1" thickBot="1" x14ac:dyDescent="0.25">
      <c r="C34" s="56" t="s">
        <v>45</v>
      </c>
      <c r="D34" s="139" t="s">
        <v>46</v>
      </c>
      <c r="E34" s="56" t="s">
        <v>47</v>
      </c>
      <c r="F34" s="139" t="s">
        <v>48</v>
      </c>
      <c r="G34" s="56" t="s">
        <v>49</v>
      </c>
      <c r="H34" s="291"/>
      <c r="I34" s="344"/>
      <c r="J34" s="73" t="s">
        <v>50</v>
      </c>
      <c r="K34" s="56" t="s">
        <v>51</v>
      </c>
      <c r="L34" s="56" t="s">
        <v>52</v>
      </c>
      <c r="M34" s="56" t="s">
        <v>53</v>
      </c>
      <c r="N34" s="56" t="s">
        <v>54</v>
      </c>
      <c r="O34" s="199"/>
      <c r="P34" s="349"/>
      <c r="Q34" s="351"/>
      <c r="R34" s="346"/>
    </row>
    <row r="35" spans="1:19" x14ac:dyDescent="0.2">
      <c r="A35" s="331" t="s">
        <v>107</v>
      </c>
      <c r="B35" s="221" t="s">
        <v>60</v>
      </c>
      <c r="C35" s="93">
        <f>'BULGARIA-Core 2021-2030'!E6</f>
        <v>0</v>
      </c>
      <c r="D35" s="93">
        <f>'BULGARIA-Core 2021-2030'!E7</f>
        <v>0</v>
      </c>
      <c r="E35" s="93">
        <f>'BULGARIA-Core 2021-2030'!E8</f>
        <v>0</v>
      </c>
      <c r="F35" s="93">
        <f>'BULGARIA-Core 2021-2030'!E9</f>
        <v>0</v>
      </c>
      <c r="G35" s="93">
        <f>'BULGARIA-Core 2021-2030'!E10</f>
        <v>0</v>
      </c>
      <c r="H35" s="182">
        <f t="shared" ref="H35:H44" si="12">SUM(C35:G35)</f>
        <v>0</v>
      </c>
      <c r="I35" s="295">
        <v>1</v>
      </c>
      <c r="J35" s="292">
        <f>'BULGARIA-Core 2021-2030'!E12</f>
        <v>0</v>
      </c>
      <c r="K35" s="93">
        <f>'BULGARIA-Core 2021-2030'!E13</f>
        <v>0</v>
      </c>
      <c r="L35" s="93">
        <f>'BULGARIA-Core 2021-2030'!E14</f>
        <v>0</v>
      </c>
      <c r="M35" s="93">
        <f>'BULGARIA-Core 2021-2030'!E15</f>
        <v>0</v>
      </c>
      <c r="N35" s="93">
        <f>'BULGARIA-Core 2021-2030'!E16</f>
        <v>0</v>
      </c>
      <c r="O35" s="188">
        <f t="shared" ref="O35:O62" si="13">SUM(J35:N35)</f>
        <v>0</v>
      </c>
      <c r="P35" s="180">
        <f t="shared" ref="P35:P46" si="14">H35+O35</f>
        <v>0</v>
      </c>
      <c r="Q35" s="300">
        <v>2</v>
      </c>
    </row>
    <row r="36" spans="1:19" x14ac:dyDescent="0.2">
      <c r="A36" s="332"/>
      <c r="B36" s="222" t="s">
        <v>61</v>
      </c>
      <c r="C36" s="88">
        <f>'FINLAND-Core 2021-2030'!E6</f>
        <v>0</v>
      </c>
      <c r="D36" s="88">
        <f>'FINLAND-Core 2021-2030'!E7</f>
        <v>0</v>
      </c>
      <c r="E36" s="88">
        <f>'FINLAND-Core 2021-2030'!E8</f>
        <v>0</v>
      </c>
      <c r="F36" s="88">
        <f>'FINLAND-Core 2021-2030'!E9</f>
        <v>0</v>
      </c>
      <c r="G36" s="88">
        <f>'FINLAND-Core 2021-2030'!E10</f>
        <v>0</v>
      </c>
      <c r="H36" s="182">
        <f t="shared" si="12"/>
        <v>0</v>
      </c>
      <c r="I36" s="295">
        <v>1</v>
      </c>
      <c r="J36" s="190">
        <f>'FINLAND-Core 2021-2030'!E12</f>
        <v>0</v>
      </c>
      <c r="K36" s="88">
        <f>'FINLAND-Core 2021-2030'!E13</f>
        <v>0</v>
      </c>
      <c r="L36" s="88">
        <f>'FINLAND-Core 2021-2030'!E14</f>
        <v>0</v>
      </c>
      <c r="M36" s="88">
        <f>'FINLAND-Core 2021-2030'!E15</f>
        <v>0</v>
      </c>
      <c r="N36" s="88">
        <f>'FINLAND-Core 2021-2030'!E16</f>
        <v>0</v>
      </c>
      <c r="O36" s="186">
        <f t="shared" si="13"/>
        <v>0</v>
      </c>
      <c r="P36" s="181">
        <f t="shared" si="14"/>
        <v>0</v>
      </c>
      <c r="Q36" s="301">
        <v>2</v>
      </c>
    </row>
    <row r="37" spans="1:19" s="315" customFormat="1" ht="21" x14ac:dyDescent="0.2">
      <c r="A37" s="332"/>
      <c r="B37" s="311" t="s">
        <v>29</v>
      </c>
      <c r="C37" s="186">
        <f>'FRANCE-Core 2021-2031'!E6</f>
        <v>0</v>
      </c>
      <c r="D37" s="287">
        <f>'FRANCE-Core 2021-2031'!E7</f>
        <v>3</v>
      </c>
      <c r="E37" s="287">
        <f>'FRANCE-Core 2021-2031'!E8</f>
        <v>2</v>
      </c>
      <c r="F37" s="287">
        <f>'FRANCE-Core 2021-2031'!E9</f>
        <v>1</v>
      </c>
      <c r="G37" s="287">
        <f>'FRANCE-Core 2021-2031'!E10</f>
        <v>2</v>
      </c>
      <c r="H37" s="286">
        <f t="shared" si="12"/>
        <v>8</v>
      </c>
      <c r="I37" s="312">
        <v>8</v>
      </c>
      <c r="J37" s="313">
        <f>'FRANCE-Core 2021-2031'!E11</f>
        <v>3</v>
      </c>
      <c r="K37" s="186">
        <f>'FRANCE-Core 2021-2031'!E13</f>
        <v>0</v>
      </c>
      <c r="L37" s="287">
        <f>'FRANCE-Core 2021-2031'!E14</f>
        <v>2</v>
      </c>
      <c r="M37" s="287">
        <f>'FRANCE-Core 2021-2031'!E15</f>
        <v>2</v>
      </c>
      <c r="N37" s="287">
        <f>'FRANCE-Core 2021-2031'!E16</f>
        <v>1</v>
      </c>
      <c r="O37" s="287">
        <f t="shared" si="13"/>
        <v>8</v>
      </c>
      <c r="P37" s="289">
        <f t="shared" si="14"/>
        <v>16</v>
      </c>
      <c r="Q37" s="314">
        <v>16</v>
      </c>
    </row>
    <row r="38" spans="1:19" x14ac:dyDescent="0.2">
      <c r="A38" s="332"/>
      <c r="B38" s="222" t="s">
        <v>30</v>
      </c>
      <c r="C38" s="88">
        <f>'GERMANY-Core 2021-2030'!E6</f>
        <v>0</v>
      </c>
      <c r="D38" s="88">
        <f>'GERMANY-Core 2021-2030'!E7</f>
        <v>0</v>
      </c>
      <c r="E38" s="88">
        <f>'GERMANY-Core 2021-2030'!E8</f>
        <v>0</v>
      </c>
      <c r="F38" s="88">
        <f>'GERMANY-Core 2021-2030'!E9</f>
        <v>0</v>
      </c>
      <c r="G38" s="88">
        <f>'GERMANY-Core 2021-2030'!E10</f>
        <v>0</v>
      </c>
      <c r="H38" s="182">
        <f t="shared" si="12"/>
        <v>0</v>
      </c>
      <c r="I38" s="295">
        <v>8</v>
      </c>
      <c r="J38" s="190">
        <f>'GERMANY-Core 2021-2030'!E12</f>
        <v>0</v>
      </c>
      <c r="K38" s="88">
        <f>'GERMANY-Core 2021-2030'!E13</f>
        <v>0</v>
      </c>
      <c r="L38" s="88">
        <f>'GERMANY-Core 2021-2030'!E14</f>
        <v>0</v>
      </c>
      <c r="M38" s="88">
        <f>'GERMANY-Core 2021-2030'!E15</f>
        <v>0</v>
      </c>
      <c r="N38" s="88">
        <f>'GERMANY-Core 2021-2030'!E16</f>
        <v>0</v>
      </c>
      <c r="O38" s="186">
        <f t="shared" si="13"/>
        <v>0</v>
      </c>
      <c r="P38" s="181">
        <f t="shared" si="14"/>
        <v>0</v>
      </c>
      <c r="Q38" s="301">
        <v>16</v>
      </c>
    </row>
    <row r="39" spans="1:19" x14ac:dyDescent="0.2">
      <c r="A39" s="332"/>
      <c r="B39" s="222" t="s">
        <v>62</v>
      </c>
      <c r="C39" s="88">
        <f>'HUNGARY-Core 2021-2030'!E6</f>
        <v>0</v>
      </c>
      <c r="D39" s="88">
        <f>'HUNGARY-Core 2021-2030'!E7</f>
        <v>0</v>
      </c>
      <c r="E39" s="88">
        <f>'HUNGARY-Core 2021-2030'!E8</f>
        <v>0</v>
      </c>
      <c r="F39" s="88">
        <f>'HUNGARY-Core 2021-2030'!E9</f>
        <v>0</v>
      </c>
      <c r="G39" s="88">
        <f>'HUNGARY-Core 2021-2030'!E10</f>
        <v>0</v>
      </c>
      <c r="H39" s="182">
        <f t="shared" si="12"/>
        <v>0</v>
      </c>
      <c r="I39" s="295">
        <v>0</v>
      </c>
      <c r="J39" s="190">
        <f>'HUNGARY-Core 2021-2030'!E12</f>
        <v>0</v>
      </c>
      <c r="K39" s="88">
        <f>'HUNGARY-Core 2021-2030'!E13</f>
        <v>0</v>
      </c>
      <c r="L39" s="88">
        <f>'HUNGARY-Core 2021-2030'!E14</f>
        <v>0</v>
      </c>
      <c r="M39" s="88">
        <f>'HUNGARY-Core 2021-2030'!E15</f>
        <v>0</v>
      </c>
      <c r="N39" s="88">
        <f>'HUNGARY-Core 2021-2030'!E16</f>
        <v>0</v>
      </c>
      <c r="O39" s="186">
        <f t="shared" si="13"/>
        <v>0</v>
      </c>
      <c r="P39" s="181">
        <f t="shared" si="14"/>
        <v>0</v>
      </c>
      <c r="Q39" s="301">
        <v>2</v>
      </c>
    </row>
    <row r="40" spans="1:19" s="315" customFormat="1" ht="21" x14ac:dyDescent="0.2">
      <c r="A40" s="332"/>
      <c r="B40" s="311" t="s">
        <v>63</v>
      </c>
      <c r="C40" s="186">
        <f>'ITALY-Core 2021-2030'!E6</f>
        <v>0</v>
      </c>
      <c r="D40" s="287">
        <f>'ITALY-Core 2021-2030'!E7</f>
        <v>2</v>
      </c>
      <c r="E40" s="287">
        <f>'ITALY-Core 2021-2030'!E8</f>
        <v>2</v>
      </c>
      <c r="F40" s="287">
        <f>'ITALY-Core 2021-2030'!E9</f>
        <v>2</v>
      </c>
      <c r="G40" s="287">
        <f>'ITALY-Core 2021-2030'!E10</f>
        <v>1</v>
      </c>
      <c r="H40" s="286">
        <f t="shared" si="12"/>
        <v>7</v>
      </c>
      <c r="I40" s="312">
        <v>8</v>
      </c>
      <c r="J40" s="313">
        <f>'ITALY-Core 2021-2030'!E12</f>
        <v>2</v>
      </c>
      <c r="K40" s="287">
        <f>'ITALY-Core 2021-2030'!E13</f>
        <v>2</v>
      </c>
      <c r="L40" s="287">
        <f>'ITALY-Core 2021-2030'!E14</f>
        <v>2</v>
      </c>
      <c r="M40" s="287">
        <f>'ITALY-Core 2021-2030'!E15</f>
        <v>1</v>
      </c>
      <c r="N40" s="287">
        <f>'ITALY-Core 2021-2030'!E16</f>
        <v>2</v>
      </c>
      <c r="O40" s="287">
        <f t="shared" si="13"/>
        <v>9</v>
      </c>
      <c r="P40" s="289">
        <f t="shared" si="14"/>
        <v>16</v>
      </c>
      <c r="Q40" s="314">
        <v>16</v>
      </c>
    </row>
    <row r="41" spans="1:19" x14ac:dyDescent="0.2">
      <c r="A41" s="332"/>
      <c r="B41" s="222" t="s">
        <v>64</v>
      </c>
      <c r="C41" s="88">
        <f>'POLAND-Core 2021-2030'!E6</f>
        <v>0</v>
      </c>
      <c r="D41" s="88">
        <f>'POLAND-Core 2021-2030'!E7</f>
        <v>0</v>
      </c>
      <c r="E41" s="88">
        <f>'POLAND-Core 2021-2030'!E8</f>
        <v>0</v>
      </c>
      <c r="F41" s="88">
        <f>'POLAND-Core 2021-2030'!E9</f>
        <v>0</v>
      </c>
      <c r="G41" s="88">
        <f>'POLAND-Core 2021-2030'!E10</f>
        <v>0</v>
      </c>
      <c r="H41" s="182">
        <f t="shared" si="12"/>
        <v>0</v>
      </c>
      <c r="I41" s="295">
        <v>1</v>
      </c>
      <c r="J41" s="190">
        <f>'POLAND-Core 2021-2030'!E12</f>
        <v>0</v>
      </c>
      <c r="K41" s="88">
        <f>'POLAND-Core 2021-2030'!E13</f>
        <v>0</v>
      </c>
      <c r="L41" s="88">
        <f>'POLAND-Core 2021-2030'!E14</f>
        <v>0</v>
      </c>
      <c r="M41" s="88">
        <f>'POLAND-Core 2021-2030'!E15</f>
        <v>0</v>
      </c>
      <c r="N41" s="88">
        <f>'POLAND-Core 2021-2030'!E16</f>
        <v>0</v>
      </c>
      <c r="O41" s="186">
        <f t="shared" si="13"/>
        <v>0</v>
      </c>
      <c r="P41" s="181">
        <f t="shared" si="14"/>
        <v>0</v>
      </c>
      <c r="Q41" s="301">
        <v>2</v>
      </c>
    </row>
    <row r="42" spans="1:19" s="315" customFormat="1" ht="21" x14ac:dyDescent="0.2">
      <c r="A42" s="332"/>
      <c r="B42" s="311" t="s">
        <v>65</v>
      </c>
      <c r="C42" s="186">
        <f>'SPAIN-Core 2021-2030'!E6</f>
        <v>0</v>
      </c>
      <c r="D42" s="287">
        <f>'SPAIN-Core 2021-2030'!E7</f>
        <v>1</v>
      </c>
      <c r="E42" s="186">
        <f>'SPAIN-Core 2021-2030'!E8</f>
        <v>0</v>
      </c>
      <c r="F42" s="186">
        <f>'SPAIN-Core 2021-2030'!E9</f>
        <v>0</v>
      </c>
      <c r="G42" s="186">
        <f>'SPAIN-Core 2021-2030'!E10</f>
        <v>0</v>
      </c>
      <c r="H42" s="286">
        <f t="shared" si="12"/>
        <v>1</v>
      </c>
      <c r="I42" s="312">
        <v>2</v>
      </c>
      <c r="J42" s="316">
        <f>'SPAIN-Core 2021-2030'!E12</f>
        <v>0</v>
      </c>
      <c r="K42" s="186">
        <f>'SPAIN-Core 2021-2030'!E13</f>
        <v>0</v>
      </c>
      <c r="L42" s="186">
        <f>'SPAIN-Core 2021-2030'!E14</f>
        <v>0</v>
      </c>
      <c r="M42" s="186">
        <f>'SPAIN-Core 2021-2030'!E15</f>
        <v>0</v>
      </c>
      <c r="N42" s="186">
        <f>'SPAIN-Core 2021-2030'!E16</f>
        <v>0</v>
      </c>
      <c r="O42" s="186">
        <f t="shared" si="13"/>
        <v>0</v>
      </c>
      <c r="P42" s="289">
        <f t="shared" si="14"/>
        <v>1</v>
      </c>
      <c r="Q42" s="314">
        <v>3</v>
      </c>
    </row>
    <row r="43" spans="1:19" x14ac:dyDescent="0.2">
      <c r="A43" s="332"/>
      <c r="B43" s="222" t="s">
        <v>66</v>
      </c>
      <c r="C43" s="88">
        <f>'SWEDEN-Core 2021-2030'!E6</f>
        <v>0</v>
      </c>
      <c r="D43" s="88">
        <f>'SWEDEN-Core 2021-2030'!E7</f>
        <v>0</v>
      </c>
      <c r="E43" s="88">
        <f>'SWEDEN-Core 2021-2030'!E8</f>
        <v>0</v>
      </c>
      <c r="F43" s="88">
        <f>'SWEDEN-Core 2021-2030'!E9</f>
        <v>0</v>
      </c>
      <c r="G43" s="88">
        <f>'SWEDEN-Core 2021-2030'!E1</f>
        <v>0</v>
      </c>
      <c r="H43" s="182">
        <f t="shared" si="12"/>
        <v>0</v>
      </c>
      <c r="I43" s="295">
        <v>3</v>
      </c>
      <c r="J43" s="190">
        <f>'SWEDEN-Core 2021-2030'!LE12</f>
        <v>0</v>
      </c>
      <c r="K43" s="88">
        <f>'SWEDEN-Core 2021-2030'!E13</f>
        <v>0</v>
      </c>
      <c r="L43" s="88">
        <f>'SWEDEN-Core 2021-2030'!E14</f>
        <v>0</v>
      </c>
      <c r="M43" s="88">
        <f>'SWEDEN-Core 2021-2030'!E15</f>
        <v>0</v>
      </c>
      <c r="N43" s="88">
        <f>'SWEDEN-Core 2021-2030'!E16</f>
        <v>0</v>
      </c>
      <c r="O43" s="186">
        <f t="shared" si="13"/>
        <v>0</v>
      </c>
      <c r="P43" s="181">
        <f t="shared" si="14"/>
        <v>0</v>
      </c>
      <c r="Q43" s="301">
        <v>4</v>
      </c>
    </row>
    <row r="44" spans="1:19" x14ac:dyDescent="0.2">
      <c r="A44" s="332"/>
      <c r="B44" s="222" t="s">
        <v>67</v>
      </c>
      <c r="C44" s="88">
        <f>'TURKEY-Core 2021-2030'!E6</f>
        <v>0</v>
      </c>
      <c r="D44" s="88">
        <f>'TURKEY-Core 2021-2030'!E7</f>
        <v>0</v>
      </c>
      <c r="E44" s="88">
        <f>'TURKEY-Core 2021-2030'!E8</f>
        <v>0</v>
      </c>
      <c r="F44" s="88">
        <f>'TURKEY-Core 2021-2030'!E9</f>
        <v>0</v>
      </c>
      <c r="G44" s="88">
        <f>'TURKEY-Core 2021-2030'!E10</f>
        <v>0</v>
      </c>
      <c r="H44" s="182">
        <f t="shared" si="12"/>
        <v>0</v>
      </c>
      <c r="I44" s="295">
        <v>1</v>
      </c>
      <c r="J44" s="190">
        <f>'TURKEY-Core 2021-2030'!E12</f>
        <v>0</v>
      </c>
      <c r="K44" s="88">
        <f>'TURKEY-Core 2021-2030'!E13</f>
        <v>0</v>
      </c>
      <c r="L44" s="88">
        <f>'TURKEY-Core 2021-2030'!E14</f>
        <v>0</v>
      </c>
      <c r="M44" s="88">
        <f>'TURKEY-Core 2021-2030'!E15</f>
        <v>0</v>
      </c>
      <c r="N44" s="88">
        <f>'TURKEY-Core 2021-2030'!E16</f>
        <v>0</v>
      </c>
      <c r="O44" s="186">
        <f t="shared" si="13"/>
        <v>0</v>
      </c>
      <c r="P44" s="181">
        <f t="shared" si="14"/>
        <v>0</v>
      </c>
      <c r="Q44" s="301">
        <v>2</v>
      </c>
    </row>
    <row r="45" spans="1:19" ht="21" x14ac:dyDescent="0.2">
      <c r="A45" s="332"/>
      <c r="B45" s="311" t="s">
        <v>68</v>
      </c>
      <c r="C45" s="287">
        <f>'UK-Core 2020-2030'!E6</f>
        <v>3</v>
      </c>
      <c r="D45" s="186">
        <f>'UK-Core 2020-2030'!E7</f>
        <v>0</v>
      </c>
      <c r="E45" s="88">
        <f>'UK-Core 2020-2030'!E8</f>
        <v>0</v>
      </c>
      <c r="F45" s="88">
        <f>'UK-Core 2020-2030'!E9</f>
        <v>0</v>
      </c>
      <c r="G45" s="88">
        <f>'UK-Core 2020-2030'!E10</f>
        <v>0</v>
      </c>
      <c r="H45" s="286">
        <f>SUM(C45:G45)</f>
        <v>3</v>
      </c>
      <c r="I45" s="295">
        <v>6</v>
      </c>
      <c r="J45" s="190">
        <f>'UK-Core 2020-2030'!E12</f>
        <v>0</v>
      </c>
      <c r="K45" s="88">
        <f>'UK-Core 2020-2030'!E13</f>
        <v>0</v>
      </c>
      <c r="L45" s="88">
        <f>'UK-Core 2020-2030'!E14</f>
        <v>0</v>
      </c>
      <c r="M45" s="88">
        <f>'UK-Core 2020-2030'!E15</f>
        <v>0</v>
      </c>
      <c r="N45" s="88">
        <f>'UK-Core 2020-2030'!E16</f>
        <v>0</v>
      </c>
      <c r="O45" s="186">
        <f t="shared" si="13"/>
        <v>0</v>
      </c>
      <c r="P45" s="288">
        <f t="shared" si="14"/>
        <v>3</v>
      </c>
      <c r="Q45" s="301">
        <v>12</v>
      </c>
    </row>
    <row r="46" spans="1:19" s="174" customFormat="1" ht="21" x14ac:dyDescent="0.25">
      <c r="A46" s="332"/>
      <c r="B46" s="304" t="s">
        <v>70</v>
      </c>
      <c r="C46" s="171">
        <f>SUM(C35:C45)</f>
        <v>3</v>
      </c>
      <c r="D46" s="172">
        <f t="shared" ref="D46:N46" si="15">SUM(D35:D45)</f>
        <v>6</v>
      </c>
      <c r="E46" s="171">
        <f t="shared" si="15"/>
        <v>4</v>
      </c>
      <c r="F46" s="172">
        <f t="shared" si="15"/>
        <v>3</v>
      </c>
      <c r="G46" s="171">
        <f t="shared" si="15"/>
        <v>3</v>
      </c>
      <c r="H46" s="172">
        <f>SUM(C46:G46)</f>
        <v>19</v>
      </c>
      <c r="I46" s="295">
        <f>SUM(I35:I45)</f>
        <v>39</v>
      </c>
      <c r="J46" s="195">
        <f t="shared" si="15"/>
        <v>5</v>
      </c>
      <c r="K46" s="172">
        <f t="shared" si="15"/>
        <v>2</v>
      </c>
      <c r="L46" s="171">
        <f t="shared" si="15"/>
        <v>4</v>
      </c>
      <c r="M46" s="172">
        <f t="shared" si="15"/>
        <v>3</v>
      </c>
      <c r="N46" s="171">
        <f t="shared" si="15"/>
        <v>3</v>
      </c>
      <c r="O46" s="173">
        <f t="shared" si="13"/>
        <v>17</v>
      </c>
      <c r="P46" s="177">
        <f t="shared" si="14"/>
        <v>36</v>
      </c>
      <c r="Q46" s="303">
        <f>SUM(Q35:Q45)</f>
        <v>77</v>
      </c>
      <c r="R46" s="200">
        <v>78</v>
      </c>
      <c r="S46" s="174" t="s">
        <v>98</v>
      </c>
    </row>
    <row r="47" spans="1:19" ht="17" x14ac:dyDescent="0.2">
      <c r="A47" s="332"/>
      <c r="B47" s="305" t="s">
        <v>71</v>
      </c>
      <c r="C47" s="55">
        <f>C46*206.5*1.015^(C33-2020)*(1-(C46-1)*0.03) + C46*1.6*1.015^(C33-2020)</f>
        <v>595.9369499999998</v>
      </c>
      <c r="D47" s="170">
        <f>D46*206.5*1.015^(D33-2020)*(1-(D46-1)*0.03) + D46*1.6*1.015^(D33-2020)</f>
        <v>1094.8716187499995</v>
      </c>
      <c r="E47" s="55">
        <f>E46*206.5*1.015^(E33-2020)*(1-(E46-1)*0.03) + E46*1.6*1.015^(E33-2020)</f>
        <v>792.68694895249962</v>
      </c>
      <c r="F47" s="170">
        <f>F46*206.5*1.015^(F33-2020)*(1-(F46-1)*0.03) + F46*1.6*1.015^(F33-2020)</f>
        <v>623.15838147845591</v>
      </c>
      <c r="G47" s="55">
        <f>G46*206.5*1.015^(G33-2020)*(1-(G46-1)*0.03) + G46*1.6*1.015^(G33-2020)</f>
        <v>632.5057572006325</v>
      </c>
      <c r="H47" s="183">
        <f>SUM(C47:G47)</f>
        <v>3739.1596563815874</v>
      </c>
      <c r="I47" s="296"/>
      <c r="J47" s="196">
        <f>J46*206.5*1.015^(J33-2020)*(1-(J46-1)*0.03) + J46*1.6*1.015^(J33-2020)</f>
        <v>1002.2500957298236</v>
      </c>
      <c r="K47" s="170">
        <f>K46*206.5*1.015^(K33-2020)*(1-(K46-1)*0.03) + K46*1.6*1.015^(K33-2020)</f>
        <v>448.16647427886744</v>
      </c>
      <c r="L47" s="55">
        <f>L46*206.5*1.015^(L33-2020)*(1-(L46-2)*0.03) + L46*1.6*1.015^(L33-2020)</f>
        <v>881.86345649026907</v>
      </c>
      <c r="M47" s="170">
        <f>M46*206.5*1.015^(M33-2020)*(1-(M46-2)*0.03) + M46*1.6*1.015^(M33-2020)</f>
        <v>692.56845894591902</v>
      </c>
      <c r="N47" s="55">
        <f>N46*206.5*1.015^(N33-2020)*(1-(N46-2)*0.03) + N46*1.6*1.015^(N33-2020)</f>
        <v>702.9569858301079</v>
      </c>
      <c r="O47" s="186">
        <f t="shared" si="13"/>
        <v>3727.8054712749868</v>
      </c>
      <c r="P47" s="201">
        <f>SUM(H47:N47)</f>
        <v>7466.9651276565746</v>
      </c>
      <c r="Q47" s="301"/>
    </row>
    <row r="48" spans="1:19" ht="18" thickBot="1" x14ac:dyDescent="0.25">
      <c r="A48" s="333"/>
      <c r="B48" s="306" t="s">
        <v>72</v>
      </c>
      <c r="C48" s="169">
        <f>C47/C46</f>
        <v>198.64564999999993</v>
      </c>
      <c r="D48" s="223">
        <f t="shared" ref="D48:N48" si="16">D47/D46</f>
        <v>182.47860312499992</v>
      </c>
      <c r="E48" s="169">
        <f t="shared" si="16"/>
        <v>198.1717372381249</v>
      </c>
      <c r="F48" s="223">
        <f t="shared" si="16"/>
        <v>207.71946049281863</v>
      </c>
      <c r="G48" s="169">
        <f t="shared" si="16"/>
        <v>210.83525240021083</v>
      </c>
      <c r="H48" s="184"/>
      <c r="I48" s="297"/>
      <c r="J48" s="293">
        <f t="shared" si="16"/>
        <v>200.45001914596472</v>
      </c>
      <c r="K48" s="223">
        <f t="shared" si="16"/>
        <v>224.08323713943372</v>
      </c>
      <c r="L48" s="169">
        <f t="shared" si="16"/>
        <v>220.46586412256727</v>
      </c>
      <c r="M48" s="223">
        <f t="shared" si="16"/>
        <v>230.856152981973</v>
      </c>
      <c r="N48" s="169">
        <f t="shared" si="16"/>
        <v>234.31899527670262</v>
      </c>
      <c r="O48" s="187">
        <f t="shared" si="13"/>
        <v>1110.1742686666414</v>
      </c>
      <c r="P48" s="202"/>
      <c r="Q48" s="302"/>
    </row>
    <row r="49" spans="1:19" x14ac:dyDescent="0.2">
      <c r="A49" s="334" t="s">
        <v>73</v>
      </c>
      <c r="B49" s="95" t="s">
        <v>60</v>
      </c>
      <c r="C49" s="167">
        <f>'BULGARIA-Core 2021-2030'!G6</f>
        <v>0</v>
      </c>
      <c r="D49" s="167">
        <f>'BULGARIA-Core 2021-2030'!G7</f>
        <v>0</v>
      </c>
      <c r="E49" s="167">
        <f>'BULGARIA-Core 2021-2030'!G8</f>
        <v>0</v>
      </c>
      <c r="F49" s="167">
        <f>'BULGARIA-Core 2021-2030'!G9</f>
        <v>0</v>
      </c>
      <c r="G49" s="167">
        <f>'BULGARIA-Core 2021-2030'!G10</f>
        <v>0</v>
      </c>
      <c r="H49" s="192">
        <f t="shared" ref="H49:H61" si="17">SUM(C49:G49)</f>
        <v>0</v>
      </c>
      <c r="I49" s="295"/>
      <c r="J49" s="294">
        <f>'BULGARIA-Core 2021-2030'!G12</f>
        <v>0</v>
      </c>
      <c r="K49" s="167">
        <f>'BULGARIA-Core 2021-2030'!G13</f>
        <v>0</v>
      </c>
      <c r="L49" s="167">
        <f>'BULGARIA-Core 2021-2030'!G14</f>
        <v>0</v>
      </c>
      <c r="M49" s="167">
        <f>'BULGARIA-Core 2021-2030'!G15</f>
        <v>0</v>
      </c>
      <c r="N49" s="167">
        <f>'BULGARIA-Core 2021-2030'!G16</f>
        <v>0</v>
      </c>
      <c r="O49" s="188">
        <f t="shared" si="13"/>
        <v>0</v>
      </c>
      <c r="P49" s="203">
        <f t="shared" ref="P49:P61" si="18">SUM(H49:N49)</f>
        <v>0</v>
      </c>
      <c r="Q49" s="300"/>
    </row>
    <row r="50" spans="1:19" x14ac:dyDescent="0.2">
      <c r="A50" s="334"/>
      <c r="B50" s="95" t="s">
        <v>61</v>
      </c>
      <c r="C50" s="96">
        <f>'FINLAND-Core 2021-2030'!G6</f>
        <v>0</v>
      </c>
      <c r="D50" s="96">
        <f>'FINLAND-Core 2021-2030'!G7</f>
        <v>0</v>
      </c>
      <c r="E50" s="96">
        <f>'FINLAND-Core 2021-2030'!G8</f>
        <v>0</v>
      </c>
      <c r="F50" s="96">
        <f>'FINLAND-Core 2021-2030'!G9</f>
        <v>0</v>
      </c>
      <c r="G50" s="96">
        <f>'FINLAND-Core 2021-2030'!G10</f>
        <v>0</v>
      </c>
      <c r="H50" s="191">
        <f t="shared" si="17"/>
        <v>0</v>
      </c>
      <c r="I50" s="298"/>
      <c r="J50" s="90">
        <f>'FINLAND-Core 2021-2030'!G12</f>
        <v>0</v>
      </c>
      <c r="K50" s="96">
        <f>'FINLAND-Core 2021-2030'!G13</f>
        <v>0</v>
      </c>
      <c r="L50" s="96">
        <f>'FINLAND-Core 2021-2030'!G14</f>
        <v>0</v>
      </c>
      <c r="M50" s="96">
        <f>'FINLAND-Core 2021-2030'!G15</f>
        <v>0</v>
      </c>
      <c r="N50" s="96">
        <f>'FINLAND-Core 2021-2030'!G16</f>
        <v>0</v>
      </c>
      <c r="O50" s="186">
        <f t="shared" si="13"/>
        <v>0</v>
      </c>
      <c r="P50" s="181">
        <f t="shared" si="18"/>
        <v>0</v>
      </c>
      <c r="Q50" s="301"/>
    </row>
    <row r="51" spans="1:19" s="315" customFormat="1" ht="21" x14ac:dyDescent="0.2">
      <c r="A51" s="334"/>
      <c r="B51" s="317" t="s">
        <v>29</v>
      </c>
      <c r="C51" s="318">
        <f>'FRANCE-Core 2021-2031'!G6</f>
        <v>1</v>
      </c>
      <c r="D51" s="319">
        <f>'FRANCE-Core 2021-2031'!G7</f>
        <v>0</v>
      </c>
      <c r="E51" s="318">
        <f>'FRANCE-Core 2021-2031'!G8</f>
        <v>1</v>
      </c>
      <c r="F51" s="319">
        <f>'FRANCE-Core 2021-2031'!G9</f>
        <v>0</v>
      </c>
      <c r="G51" s="318">
        <f>'FRANCE-Core 2021-2031'!G10</f>
        <v>2</v>
      </c>
      <c r="H51" s="289">
        <f t="shared" si="17"/>
        <v>4</v>
      </c>
      <c r="I51" s="320">
        <v>2</v>
      </c>
      <c r="J51" s="321">
        <f>'FRANCE-Core 2021-2031'!G11</f>
        <v>0</v>
      </c>
      <c r="K51" s="318">
        <f>'FRANCE-Core 2021-2031'!G13</f>
        <v>1</v>
      </c>
      <c r="L51" s="319">
        <f>'FRANCE-Core 2021-2031'!G14</f>
        <v>0</v>
      </c>
      <c r="M51" s="319">
        <f>'FRANCE-Core 2021-2031'!G15</f>
        <v>0</v>
      </c>
      <c r="N51" s="322">
        <f>'FRANCE-Core 2021-2031'!G16</f>
        <v>0</v>
      </c>
      <c r="O51" s="287">
        <f t="shared" si="13"/>
        <v>1</v>
      </c>
      <c r="P51" s="289">
        <f t="shared" si="18"/>
        <v>7</v>
      </c>
      <c r="Q51" s="314">
        <v>5</v>
      </c>
    </row>
    <row r="52" spans="1:19" x14ac:dyDescent="0.2">
      <c r="A52" s="334"/>
      <c r="B52" s="95" t="s">
        <v>30</v>
      </c>
      <c r="C52" s="96">
        <f>'GERMANY-Core 2021-2030'!G6</f>
        <v>0</v>
      </c>
      <c r="D52" s="96">
        <f>'GERMANY-Core 2021-2030'!G7</f>
        <v>0</v>
      </c>
      <c r="E52" s="96">
        <f>'GERMANY-Core 2021-2030'!G8</f>
        <v>0</v>
      </c>
      <c r="F52" s="96">
        <f>'GERMANY-Core 2021-2030'!G9</f>
        <v>0</v>
      </c>
      <c r="G52" s="96">
        <f>'GERMANY-Core 2021-2030'!G10</f>
        <v>0</v>
      </c>
      <c r="H52" s="191">
        <f t="shared" si="17"/>
        <v>0</v>
      </c>
      <c r="I52" s="298">
        <v>2</v>
      </c>
      <c r="J52" s="90">
        <f>'GERMANY-Core 2021-2030'!G12</f>
        <v>0</v>
      </c>
      <c r="K52" s="96">
        <f>'GERMANY-Core 2021-2030'!G13</f>
        <v>0</v>
      </c>
      <c r="L52" s="96">
        <f>'GERMANY-Core 2021-2030'!G14</f>
        <v>0</v>
      </c>
      <c r="M52" s="96">
        <f>'GERMANY-Core 2021-2030'!G15</f>
        <v>0</v>
      </c>
      <c r="N52" s="178">
        <f>'GERMANY-Core 2021-2030'!G16</f>
        <v>0</v>
      </c>
      <c r="O52" s="186">
        <f t="shared" si="13"/>
        <v>0</v>
      </c>
      <c r="P52" s="181">
        <f t="shared" si="18"/>
        <v>2</v>
      </c>
      <c r="Q52" s="301">
        <v>5</v>
      </c>
    </row>
    <row r="53" spans="1:19" x14ac:dyDescent="0.2">
      <c r="A53" s="334"/>
      <c r="B53" s="95" t="s">
        <v>62</v>
      </c>
      <c r="C53" s="96">
        <f>'HUNGARY-Core 2021-2030'!G6</f>
        <v>0</v>
      </c>
      <c r="D53" s="96">
        <f>'HUNGARY-Core 2021-2030'!G7</f>
        <v>0</v>
      </c>
      <c r="E53" s="96">
        <f>'HUNGARY-Core 2021-2030'!G8</f>
        <v>0</v>
      </c>
      <c r="F53" s="96">
        <f>'HUNGARY-Core 2021-2030'!G9</f>
        <v>0</v>
      </c>
      <c r="G53" s="96">
        <f>'HUNGARY-Core 2021-2030'!G10</f>
        <v>0</v>
      </c>
      <c r="H53" s="191">
        <f t="shared" si="17"/>
        <v>0</v>
      </c>
      <c r="I53" s="298">
        <v>0</v>
      </c>
      <c r="J53" s="90">
        <f>'HUNGARY-Core 2021-2030'!G12</f>
        <v>0</v>
      </c>
      <c r="K53" s="96">
        <f>'HUNGARY-Core 2021-2030'!G13</f>
        <v>0</v>
      </c>
      <c r="L53" s="96">
        <f>'HUNGARY-Core 2021-2030'!G14</f>
        <v>0</v>
      </c>
      <c r="M53" s="96">
        <f>'HUNGARY-Core 2021-2030'!G15</f>
        <v>0</v>
      </c>
      <c r="N53" s="96">
        <f>'HUNGARY-Core 2021-2030'!G16</f>
        <v>0</v>
      </c>
      <c r="O53" s="186">
        <f t="shared" si="13"/>
        <v>0</v>
      </c>
      <c r="P53" s="181">
        <f t="shared" si="18"/>
        <v>0</v>
      </c>
      <c r="Q53" s="301"/>
    </row>
    <row r="54" spans="1:19" s="315" customFormat="1" ht="21" x14ac:dyDescent="0.2">
      <c r="A54" s="334"/>
      <c r="B54" s="317" t="s">
        <v>63</v>
      </c>
      <c r="C54" s="318">
        <f>'ITALY-Core 2021-2030'!G6</f>
        <v>2</v>
      </c>
      <c r="D54" s="319">
        <f>'ITALY-Core 2021-2030'!G7</f>
        <v>0</v>
      </c>
      <c r="E54" s="319">
        <f>'ITALY-Core 2021-2030'!G8</f>
        <v>0</v>
      </c>
      <c r="F54" s="319">
        <f>'ITALY-Core 2021-2030'!G9</f>
        <v>0</v>
      </c>
      <c r="G54" s="318">
        <f>'ITALY-Core 2021-2030'!G10</f>
        <v>1</v>
      </c>
      <c r="H54" s="289">
        <f t="shared" si="17"/>
        <v>3</v>
      </c>
      <c r="I54" s="320">
        <v>2</v>
      </c>
      <c r="J54" s="321">
        <f>'ITALY-Core 2021-2030'!G12</f>
        <v>0</v>
      </c>
      <c r="K54" s="318">
        <f>'ITALY-Core 2021-2030'!G13</f>
        <v>1</v>
      </c>
      <c r="L54" s="319">
        <f>'ITALY-Core 2021-2030'!G14</f>
        <v>0</v>
      </c>
      <c r="M54" s="318">
        <f>'ITALY-Core 2021-2030'!G15</f>
        <v>1</v>
      </c>
      <c r="N54" s="322">
        <f>'ITALY-Core 2021-2030'!G16</f>
        <v>0</v>
      </c>
      <c r="O54" s="287">
        <f t="shared" si="13"/>
        <v>2</v>
      </c>
      <c r="P54" s="191">
        <f t="shared" si="18"/>
        <v>7</v>
      </c>
      <c r="Q54" s="314">
        <v>5</v>
      </c>
    </row>
    <row r="55" spans="1:19" x14ac:dyDescent="0.2">
      <c r="A55" s="334"/>
      <c r="B55" s="95" t="s">
        <v>64</v>
      </c>
      <c r="C55" s="96">
        <f>'POLAND-Core 2021-2030'!G6</f>
        <v>0</v>
      </c>
      <c r="D55" s="96">
        <f>'POLAND-Core 2021-2030'!G7</f>
        <v>0</v>
      </c>
      <c r="E55" s="96">
        <f>'POLAND-Core 2021-2030'!G8</f>
        <v>0</v>
      </c>
      <c r="F55" s="96">
        <f>'POLAND-Core 2021-2030'!G9</f>
        <v>0</v>
      </c>
      <c r="G55" s="96">
        <f>'POLAND-Core 2021-2030'!G10</f>
        <v>0</v>
      </c>
      <c r="H55" s="191">
        <f t="shared" si="17"/>
        <v>0</v>
      </c>
      <c r="I55" s="298"/>
      <c r="J55" s="90">
        <f>'POLAND-Core 2021-2030'!G12</f>
        <v>0</v>
      </c>
      <c r="K55" s="96">
        <f>'POLAND-Core 2021-2030'!G13</f>
        <v>0</v>
      </c>
      <c r="L55" s="96">
        <f>'POLAND-Core 2021-2030'!G14</f>
        <v>0</v>
      </c>
      <c r="M55" s="96">
        <f>'POLAND-Core 2021-2030'!G15</f>
        <v>0</v>
      </c>
      <c r="N55" s="96">
        <f>'POLAND-Core 2021-2030'!G16</f>
        <v>0</v>
      </c>
      <c r="O55" s="186">
        <f t="shared" si="13"/>
        <v>0</v>
      </c>
      <c r="P55" s="181">
        <f t="shared" si="18"/>
        <v>0</v>
      </c>
      <c r="Q55" s="301"/>
    </row>
    <row r="56" spans="1:19" s="315" customFormat="1" x14ac:dyDescent="0.2">
      <c r="A56" s="334"/>
      <c r="B56" s="317" t="s">
        <v>65</v>
      </c>
      <c r="C56" s="319">
        <f>'SPAIN-Core 2021-2030'!G6</f>
        <v>0</v>
      </c>
      <c r="D56" s="319">
        <f>'SPAIN-Core 2021-2030'!G7</f>
        <v>0</v>
      </c>
      <c r="E56" s="319">
        <f>'SPAIN-Core 2021-2030'!G8</f>
        <v>0</v>
      </c>
      <c r="F56" s="319">
        <f>'SPAIN-Core 2021-2030'!G9</f>
        <v>0</v>
      </c>
      <c r="G56" s="319">
        <f>'SPAIN-Core 2021-2030'!G10</f>
        <v>0</v>
      </c>
      <c r="H56" s="191">
        <f t="shared" si="17"/>
        <v>0</v>
      </c>
      <c r="I56" s="320"/>
      <c r="J56" s="321">
        <f>'SPAIN-Core 2021-2030'!G12</f>
        <v>0</v>
      </c>
      <c r="K56" s="319">
        <f>'SPAIN-Core 2021-2030'!G13</f>
        <v>0</v>
      </c>
      <c r="L56" s="319">
        <f>'SPAIN-Core 2021-2030'!G14</f>
        <v>0</v>
      </c>
      <c r="M56" s="319">
        <f>'SPAIN-Core 2021-2030'!G15</f>
        <v>0</v>
      </c>
      <c r="N56" s="319">
        <f>'SPAIN-Core 2021-2030'!G16</f>
        <v>0</v>
      </c>
      <c r="O56" s="186">
        <f t="shared" si="13"/>
        <v>0</v>
      </c>
      <c r="P56" s="191">
        <f t="shared" si="18"/>
        <v>0</v>
      </c>
      <c r="Q56" s="314">
        <v>1</v>
      </c>
    </row>
    <row r="57" spans="1:19" x14ac:dyDescent="0.2">
      <c r="A57" s="334"/>
      <c r="B57" s="95" t="s">
        <v>66</v>
      </c>
      <c r="C57" s="91">
        <f>'SWEDEN-Core 2021-2030'!G6</f>
        <v>0</v>
      </c>
      <c r="D57" s="91">
        <f>'SWEDEN-Core 2021-2030'!G7</f>
        <v>0</v>
      </c>
      <c r="E57" s="91">
        <f>'SWEDEN-Core 2021-2030'!G8</f>
        <v>0</v>
      </c>
      <c r="F57" s="91">
        <f>'SWEDEN-Core 2021-2030'!G9</f>
        <v>0</v>
      </c>
      <c r="G57" s="91">
        <f>'SWEDEN-Core 2021-2030'!KG10</f>
        <v>0</v>
      </c>
      <c r="H57" s="191">
        <f t="shared" si="17"/>
        <v>0</v>
      </c>
      <c r="I57" s="298">
        <v>1</v>
      </c>
      <c r="J57" s="92">
        <f>'SWEDEN-Core 2021-2030'!NG1</f>
        <v>0</v>
      </c>
      <c r="K57" s="91">
        <f>'SWEDEN-Core 2021-2030'!G13</f>
        <v>0</v>
      </c>
      <c r="L57" s="91">
        <f>'SWEDEN-Core 2021-2030'!G14</f>
        <v>0</v>
      </c>
      <c r="M57" s="91">
        <f>'SWEDEN-Core 2021-2030'!G15</f>
        <v>0</v>
      </c>
      <c r="N57" s="91">
        <f>'SWEDEN-Core 2021-2030'!G16</f>
        <v>0</v>
      </c>
      <c r="O57" s="186">
        <f t="shared" si="13"/>
        <v>0</v>
      </c>
      <c r="P57" s="181">
        <f t="shared" si="18"/>
        <v>1</v>
      </c>
      <c r="Q57" s="301">
        <v>1</v>
      </c>
    </row>
    <row r="58" spans="1:19" x14ac:dyDescent="0.2">
      <c r="A58" s="334"/>
      <c r="B58" s="95" t="s">
        <v>67</v>
      </c>
      <c r="C58" s="91">
        <f>'TURKEY-Core 2021-2030'!G6</f>
        <v>0</v>
      </c>
      <c r="D58" s="91">
        <f>'TURKEY-Core 2021-2030'!G7</f>
        <v>0</v>
      </c>
      <c r="E58" s="91">
        <f>'TURKEY-Core 2021-2030'!G8</f>
        <v>0</v>
      </c>
      <c r="F58" s="91">
        <f>'TURKEY-Core 2021-2030'!G9</f>
        <v>0</v>
      </c>
      <c r="G58" s="91">
        <f>'TURKEY-Core 2021-2030'!G10</f>
        <v>0</v>
      </c>
      <c r="H58" s="191">
        <f t="shared" si="17"/>
        <v>0</v>
      </c>
      <c r="I58" s="298"/>
      <c r="J58" s="92">
        <f>'TURKEY-Core 2021-2030'!G12</f>
        <v>0</v>
      </c>
      <c r="K58" s="91">
        <f>'TURKEY-Core 2021-2030'!G13</f>
        <v>0</v>
      </c>
      <c r="L58" s="91">
        <f>'TURKEY-Core 2021-2030'!G14</f>
        <v>0</v>
      </c>
      <c r="M58" s="91">
        <f>'TURKEY-Core 2021-2030'!G15</f>
        <v>0</v>
      </c>
      <c r="N58" s="91">
        <f>'TURKEY-Core 2021-2030'!G16</f>
        <v>0</v>
      </c>
      <c r="O58" s="186">
        <f t="shared" si="13"/>
        <v>0</v>
      </c>
      <c r="P58" s="181">
        <f t="shared" si="18"/>
        <v>0</v>
      </c>
      <c r="Q58" s="301"/>
    </row>
    <row r="59" spans="1:19" ht="21" x14ac:dyDescent="0.2">
      <c r="A59" s="334"/>
      <c r="B59" s="317" t="s">
        <v>68</v>
      </c>
      <c r="C59" s="323">
        <f>'UK-Core 2020-2030'!G6</f>
        <v>1</v>
      </c>
      <c r="D59" s="324">
        <f>'UK-Core 2020-2030'!G7</f>
        <v>0</v>
      </c>
      <c r="E59" s="91">
        <f>'UK-Core 2020-2030'!G8</f>
        <v>0</v>
      </c>
      <c r="F59" s="91">
        <f>'UK-Core 2020-2030'!G9</f>
        <v>0</v>
      </c>
      <c r="G59" s="91">
        <f>'UK-Core 2020-2030'!G10</f>
        <v>0</v>
      </c>
      <c r="H59" s="289">
        <f t="shared" si="17"/>
        <v>1</v>
      </c>
      <c r="I59" s="298">
        <v>2</v>
      </c>
      <c r="J59" s="92">
        <f>'UK-Core 2020-2030'!G12</f>
        <v>0</v>
      </c>
      <c r="K59" s="91">
        <f>'UK-Core 2020-2030'!G13</f>
        <v>0</v>
      </c>
      <c r="L59" s="91">
        <f>'UK-Core 2020-2030'!G14</f>
        <v>0</v>
      </c>
      <c r="M59" s="91">
        <f>'UK-Core 2020-2030'!G15</f>
        <v>0</v>
      </c>
      <c r="N59" s="178">
        <f>'UK-Core 2020-2030'!G16</f>
        <v>0</v>
      </c>
      <c r="O59" s="186">
        <f t="shared" si="13"/>
        <v>0</v>
      </c>
      <c r="P59" s="288">
        <f t="shared" si="18"/>
        <v>3</v>
      </c>
      <c r="Q59" s="301">
        <v>4</v>
      </c>
    </row>
    <row r="60" spans="1:19" s="174" customFormat="1" ht="21" x14ac:dyDescent="0.25">
      <c r="A60" s="334"/>
      <c r="B60" s="307" t="s">
        <v>70</v>
      </c>
      <c r="C60" s="175">
        <f>SUM(C50:C59)-C59</f>
        <v>3</v>
      </c>
      <c r="D60" s="176">
        <f>SUM(D50:D59)</f>
        <v>0</v>
      </c>
      <c r="E60" s="176">
        <f>SUM(E50:E59)</f>
        <v>1</v>
      </c>
      <c r="F60" s="176">
        <f>SUM(F50:F59)</f>
        <v>0</v>
      </c>
      <c r="G60" s="176">
        <f>SUM(G50:G59)</f>
        <v>3</v>
      </c>
      <c r="H60" s="172">
        <f>SUM(C60:G60)</f>
        <v>7</v>
      </c>
      <c r="I60" s="295">
        <f>SUM(I49:I59)</f>
        <v>9</v>
      </c>
      <c r="J60" s="197">
        <f>SUM(J50:J59)</f>
        <v>0</v>
      </c>
      <c r="K60" s="176">
        <f>SUM(K50:K59)</f>
        <v>2</v>
      </c>
      <c r="L60" s="176">
        <f>SUM(L50:L59)</f>
        <v>0</v>
      </c>
      <c r="M60" s="176">
        <f>SUM(M50:M59)</f>
        <v>1</v>
      </c>
      <c r="N60" s="179">
        <f>SUM(N50:N59)</f>
        <v>0</v>
      </c>
      <c r="O60" s="173">
        <f t="shared" si="13"/>
        <v>3</v>
      </c>
      <c r="P60" s="179">
        <f t="shared" si="18"/>
        <v>19</v>
      </c>
      <c r="Q60" s="303">
        <f>SUM(Q49:Q59)</f>
        <v>21</v>
      </c>
      <c r="R60" s="200">
        <v>26</v>
      </c>
      <c r="S60" s="174" t="s">
        <v>99</v>
      </c>
    </row>
    <row r="61" spans="1:19" ht="17" x14ac:dyDescent="0.2">
      <c r="A61" s="334"/>
      <c r="B61" s="308" t="s">
        <v>71</v>
      </c>
      <c r="C61" s="97">
        <f>C60*115*1.015^(C33-2019)*(1-(0.025*C60))</f>
        <v>328.77055312499994</v>
      </c>
      <c r="D61" s="52">
        <f>D60*115*1.015^(D33-2019)*(1-(0.025*D60))</f>
        <v>0</v>
      </c>
      <c r="E61" s="52">
        <f>E60*115*1.015^(E33-2019)*(1-(0.025*E60))</f>
        <v>119.00538811382806</v>
      </c>
      <c r="F61" s="52">
        <f>F60*115*1.015^(F33-2019)*(1-(0.025*F60))</f>
        <v>0</v>
      </c>
      <c r="G61" s="52">
        <f>G60*115*1.015^(G33-2019)*(1-(0.025*G60))</f>
        <v>348.9450816056949</v>
      </c>
      <c r="H61" s="193">
        <f t="shared" si="17"/>
        <v>796.72102284452285</v>
      </c>
      <c r="I61" s="296"/>
      <c r="J61" s="83">
        <f>J60*115*1.015^(J33-2019)*(1-(0.025*J60))</f>
        <v>0</v>
      </c>
      <c r="K61" s="84">
        <f>K60*115*1.015^(K33-2019)*(1-(0.025*K60))</f>
        <v>246.13863017107425</v>
      </c>
      <c r="L61" s="83">
        <f>L60*115*1.015^(L33-2019)*(1-(0.025*L60))</f>
        <v>0</v>
      </c>
      <c r="M61" s="52">
        <f>M60*115*1.015^(M33-2019)*(1-(0.025*M60))</f>
        <v>130.12564000594477</v>
      </c>
      <c r="N61" s="165">
        <f>N60*115*1.015^(N33-2019)*(1-(0.025*N60))</f>
        <v>0</v>
      </c>
      <c r="O61" s="186">
        <f t="shared" si="13"/>
        <v>376.26427017701906</v>
      </c>
      <c r="P61" s="201">
        <f t="shared" si="18"/>
        <v>1172.985293021542</v>
      </c>
      <c r="Q61" s="301"/>
    </row>
    <row r="62" spans="1:19" ht="18" thickBot="1" x14ac:dyDescent="0.25">
      <c r="A62" s="335"/>
      <c r="B62" s="309" t="s">
        <v>72</v>
      </c>
      <c r="C62" s="98">
        <f>C61/C60</f>
        <v>109.59018437499998</v>
      </c>
      <c r="D62" s="98" t="e">
        <f t="shared" ref="D62:F62" si="19">D61/D60</f>
        <v>#DIV/0!</v>
      </c>
      <c r="E62" s="98">
        <f t="shared" si="19"/>
        <v>119.00538811382806</v>
      </c>
      <c r="F62" s="98" t="e">
        <f t="shared" si="19"/>
        <v>#DIV/0!</v>
      </c>
      <c r="G62" s="98">
        <f>G61/G60</f>
        <v>116.3150272018983</v>
      </c>
      <c r="H62" s="194">
        <f>H61/H60</f>
        <v>113.81728897778898</v>
      </c>
      <c r="I62" s="299"/>
      <c r="J62" s="198" t="e">
        <f t="shared" ref="J62:N62" si="20">J61/J60</f>
        <v>#DIV/0!</v>
      </c>
      <c r="K62" s="99">
        <f t="shared" si="20"/>
        <v>123.06931508553713</v>
      </c>
      <c r="L62" s="99" t="e">
        <f t="shared" si="20"/>
        <v>#DIV/0!</v>
      </c>
      <c r="M62" s="99">
        <f t="shared" si="20"/>
        <v>130.12564000594477</v>
      </c>
      <c r="N62" s="166" t="e">
        <f t="shared" si="20"/>
        <v>#DIV/0!</v>
      </c>
      <c r="O62" s="187" t="e">
        <f t="shared" si="13"/>
        <v>#DIV/0!</v>
      </c>
      <c r="P62" s="204"/>
      <c r="Q62" s="302"/>
    </row>
    <row r="63" spans="1:19" x14ac:dyDescent="0.2">
      <c r="P63" s="189"/>
      <c r="Q63"/>
    </row>
    <row r="64" spans="1:19" x14ac:dyDescent="0.2">
      <c r="E64" t="s">
        <v>129</v>
      </c>
      <c r="P64" s="189"/>
      <c r="Q64"/>
    </row>
    <row r="65" spans="16:17" x14ac:dyDescent="0.2">
      <c r="P65" s="189"/>
      <c r="Q65"/>
    </row>
  </sheetData>
  <mergeCells count="13">
    <mergeCell ref="R33:R34"/>
    <mergeCell ref="K14:K15"/>
    <mergeCell ref="P33:P34"/>
    <mergeCell ref="Q33:Q34"/>
    <mergeCell ref="O6:O7"/>
    <mergeCell ref="A35:A48"/>
    <mergeCell ref="A49:A62"/>
    <mergeCell ref="I14:I15"/>
    <mergeCell ref="J14:J15"/>
    <mergeCell ref="C14:C15"/>
    <mergeCell ref="F14:F15"/>
    <mergeCell ref="A16:A28"/>
    <mergeCell ref="I33:I34"/>
  </mergeCells>
  <pageMargins left="0.7" right="0.7" top="0.75" bottom="0.75" header="0.3" footer="0.3"/>
  <ignoredErrors>
    <ignoredError sqref="H46:H47 H60:H61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004E-8BD6-B342-8221-5F07408931EC}">
  <dimension ref="A1:Q107"/>
  <sheetViews>
    <sheetView topLeftCell="A113" workbookViewId="0">
      <selection activeCell="C98" sqref="C98"/>
    </sheetView>
  </sheetViews>
  <sheetFormatPr baseColWidth="10" defaultColWidth="8.83203125" defaultRowHeight="16" x14ac:dyDescent="0.2"/>
  <cols>
    <col min="1" max="1" width="14.1640625" customWidth="1"/>
  </cols>
  <sheetData>
    <row r="1" spans="1:17" ht="21" hidden="1" customHeight="1" thickBot="1" x14ac:dyDescent="0.25">
      <c r="A1" s="38" t="s">
        <v>55</v>
      </c>
    </row>
    <row r="2" spans="1:17" ht="15.25" hidden="1" customHeight="1" thickBot="1" x14ac:dyDescent="0.25">
      <c r="C2" s="40">
        <v>2021</v>
      </c>
      <c r="D2" s="72">
        <v>2022</v>
      </c>
      <c r="E2" s="72">
        <v>2023</v>
      </c>
      <c r="F2" s="72">
        <v>2024</v>
      </c>
      <c r="G2" s="72">
        <v>2025</v>
      </c>
      <c r="H2" s="72">
        <v>2026</v>
      </c>
      <c r="I2" s="72">
        <v>2027</v>
      </c>
      <c r="J2" s="72">
        <v>2028</v>
      </c>
      <c r="K2" s="72">
        <v>2029</v>
      </c>
      <c r="L2" s="72">
        <v>2030</v>
      </c>
      <c r="M2" s="328" t="s">
        <v>17</v>
      </c>
      <c r="P2" s="72">
        <v>2025</v>
      </c>
    </row>
    <row r="3" spans="1:17" ht="15.25" hidden="1" customHeight="1" thickBot="1" x14ac:dyDescent="0.25">
      <c r="C3" s="56" t="s">
        <v>45</v>
      </c>
      <c r="D3" s="73" t="s">
        <v>46</v>
      </c>
      <c r="E3" s="73" t="s">
        <v>47</v>
      </c>
      <c r="F3" s="73" t="s">
        <v>48</v>
      </c>
      <c r="G3" s="73" t="s">
        <v>49</v>
      </c>
      <c r="H3" s="73" t="s">
        <v>50</v>
      </c>
      <c r="I3" s="73" t="s">
        <v>51</v>
      </c>
      <c r="J3" s="73" t="s">
        <v>52</v>
      </c>
      <c r="K3" s="73" t="s">
        <v>53</v>
      </c>
      <c r="L3" s="73" t="s">
        <v>54</v>
      </c>
      <c r="M3" s="329"/>
      <c r="N3" s="29"/>
      <c r="P3" s="72" t="s">
        <v>17</v>
      </c>
    </row>
    <row r="4" spans="1:17" ht="16" hidden="1" customHeight="1" x14ac:dyDescent="0.2">
      <c r="A4" t="s">
        <v>33</v>
      </c>
      <c r="C4" s="74">
        <v>7</v>
      </c>
      <c r="D4" s="74">
        <v>8</v>
      </c>
      <c r="E4" s="74">
        <v>8</v>
      </c>
      <c r="F4" s="74">
        <v>8</v>
      </c>
      <c r="G4" s="74">
        <v>8</v>
      </c>
      <c r="H4" s="74">
        <v>8</v>
      </c>
      <c r="I4" s="74">
        <v>7</v>
      </c>
      <c r="J4" s="75">
        <v>8</v>
      </c>
      <c r="K4" s="75">
        <v>8</v>
      </c>
      <c r="L4" s="75">
        <v>8</v>
      </c>
      <c r="M4" s="75">
        <f>SUM(C4:L4)</f>
        <v>78</v>
      </c>
      <c r="N4" s="46" t="s">
        <v>34</v>
      </c>
      <c r="P4" s="76">
        <f>SUM(C4:G4)</f>
        <v>39</v>
      </c>
      <c r="Q4" s="76"/>
    </row>
    <row r="5" spans="1:17" ht="17" hidden="1" customHeight="1" thickBot="1" x14ac:dyDescent="0.25">
      <c r="A5" t="s">
        <v>21</v>
      </c>
      <c r="C5" s="74">
        <v>2</v>
      </c>
      <c r="D5" s="74">
        <v>2</v>
      </c>
      <c r="E5" s="74">
        <v>3</v>
      </c>
      <c r="F5" s="74">
        <v>2</v>
      </c>
      <c r="G5" s="74">
        <v>2</v>
      </c>
      <c r="H5" s="74">
        <v>3</v>
      </c>
      <c r="I5" s="74">
        <v>3</v>
      </c>
      <c r="J5" s="75">
        <v>3</v>
      </c>
      <c r="K5" s="75">
        <v>3</v>
      </c>
      <c r="L5" s="75">
        <v>3</v>
      </c>
      <c r="M5" s="75">
        <f>SUM(C5:L5)</f>
        <v>26</v>
      </c>
      <c r="N5" s="46" t="s">
        <v>35</v>
      </c>
      <c r="P5" s="76">
        <f>SUM(C5:G5)</f>
        <v>11</v>
      </c>
    </row>
    <row r="6" spans="1:17" ht="18" hidden="1" customHeight="1" thickBot="1" x14ac:dyDescent="0.25">
      <c r="A6" s="51" t="s">
        <v>36</v>
      </c>
      <c r="C6" s="71">
        <f>C4*(206.5+1.6)</f>
        <v>1456.7</v>
      </c>
      <c r="D6" s="71">
        <f t="shared" ref="D6:L6" si="0">D4*(206.5+1.6)</f>
        <v>1664.8</v>
      </c>
      <c r="E6" s="71">
        <f t="shared" si="0"/>
        <v>1664.8</v>
      </c>
      <c r="F6" s="71">
        <f t="shared" si="0"/>
        <v>1664.8</v>
      </c>
      <c r="G6" s="71">
        <f t="shared" si="0"/>
        <v>1664.8</v>
      </c>
      <c r="H6" s="71">
        <f t="shared" si="0"/>
        <v>1664.8</v>
      </c>
      <c r="I6" s="71">
        <f t="shared" si="0"/>
        <v>1456.7</v>
      </c>
      <c r="J6" s="29">
        <f t="shared" si="0"/>
        <v>1664.8</v>
      </c>
      <c r="K6" s="29">
        <f t="shared" si="0"/>
        <v>1664.8</v>
      </c>
      <c r="L6" s="29">
        <f t="shared" si="0"/>
        <v>1664.8</v>
      </c>
      <c r="M6" s="29">
        <f t="shared" ref="M6:M15" si="1">SUM(C6:L6)</f>
        <v>16231.8</v>
      </c>
    </row>
    <row r="7" spans="1:17" ht="18" hidden="1" customHeight="1" thickBot="1" x14ac:dyDescent="0.25">
      <c r="A7" s="56" t="s">
        <v>38</v>
      </c>
      <c r="C7" s="71">
        <f>C5*115</f>
        <v>230</v>
      </c>
      <c r="D7" s="71">
        <f t="shared" ref="D7:L7" si="2">D5*115</f>
        <v>230</v>
      </c>
      <c r="E7" s="71">
        <f>E5*115</f>
        <v>345</v>
      </c>
      <c r="F7" s="71">
        <f t="shared" si="2"/>
        <v>230</v>
      </c>
      <c r="G7" s="71">
        <f t="shared" si="2"/>
        <v>230</v>
      </c>
      <c r="H7" s="71">
        <f t="shared" si="2"/>
        <v>345</v>
      </c>
      <c r="I7" s="71">
        <f t="shared" si="2"/>
        <v>345</v>
      </c>
      <c r="J7" s="29">
        <f t="shared" si="2"/>
        <v>345</v>
      </c>
      <c r="K7" s="29">
        <f t="shared" si="2"/>
        <v>345</v>
      </c>
      <c r="L7" s="29">
        <f t="shared" si="2"/>
        <v>345</v>
      </c>
      <c r="M7" s="29">
        <f>SUM(C7:L7)</f>
        <v>2990</v>
      </c>
      <c r="N7" s="77">
        <f>SUM(M6:M7)</f>
        <v>19221.8</v>
      </c>
      <c r="O7" s="78" t="s">
        <v>56</v>
      </c>
    </row>
    <row r="8" spans="1:17" ht="18" hidden="1" customHeight="1" thickBot="1" x14ac:dyDescent="0.25">
      <c r="A8" s="58" t="s">
        <v>20</v>
      </c>
      <c r="C8" s="53">
        <v>0</v>
      </c>
      <c r="D8" s="53">
        <f>335.7</f>
        <v>335.7</v>
      </c>
      <c r="E8" s="53">
        <v>0</v>
      </c>
      <c r="F8" s="53">
        <v>0</v>
      </c>
      <c r="G8" s="53">
        <f>16.8*3</f>
        <v>50.400000000000006</v>
      </c>
      <c r="H8" s="53">
        <v>252.1</v>
      </c>
      <c r="I8" s="53">
        <v>335.7</v>
      </c>
      <c r="J8" s="28">
        <v>0</v>
      </c>
      <c r="K8" s="28">
        <v>335.7</v>
      </c>
      <c r="L8" s="28">
        <v>0</v>
      </c>
      <c r="M8" s="71">
        <f t="shared" si="1"/>
        <v>1309.6000000000001</v>
      </c>
      <c r="N8" s="79">
        <f>M8/16.8</f>
        <v>77.952380952380963</v>
      </c>
    </row>
    <row r="9" spans="1:17" ht="35" hidden="1" customHeight="1" thickBot="1" x14ac:dyDescent="0.25">
      <c r="A9" s="58" t="s">
        <v>39</v>
      </c>
      <c r="C9" s="29">
        <f>20*16.784</f>
        <v>335.67999999999995</v>
      </c>
      <c r="D9" s="29">
        <v>0</v>
      </c>
      <c r="E9" s="29">
        <f>335.7+83.9</f>
        <v>419.6</v>
      </c>
      <c r="F9" s="29">
        <v>0</v>
      </c>
      <c r="G9" s="29">
        <v>0</v>
      </c>
      <c r="H9" s="79">
        <v>0</v>
      </c>
      <c r="I9" s="29">
        <v>0</v>
      </c>
      <c r="J9" s="29">
        <v>0</v>
      </c>
      <c r="K9" s="29">
        <v>0</v>
      </c>
      <c r="L9" s="29">
        <v>0</v>
      </c>
      <c r="M9" s="29">
        <f t="shared" si="1"/>
        <v>755.28</v>
      </c>
      <c r="P9" s="29"/>
    </row>
    <row r="10" spans="1:17" ht="18" hidden="1" customHeight="1" thickBot="1" x14ac:dyDescent="0.25">
      <c r="A10" s="56" t="s">
        <v>40</v>
      </c>
      <c r="C10" s="29">
        <v>0</v>
      </c>
      <c r="D10">
        <v>0</v>
      </c>
      <c r="E10" s="29">
        <v>100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f t="shared" si="1"/>
        <v>100</v>
      </c>
      <c r="N10" s="29"/>
    </row>
    <row r="11" spans="1:17" ht="18" hidden="1" customHeight="1" thickBot="1" x14ac:dyDescent="0.25">
      <c r="A11" s="56" t="s">
        <v>41</v>
      </c>
      <c r="C11" s="28">
        <v>0</v>
      </c>
      <c r="D11" s="28">
        <f>88+21*3</f>
        <v>151</v>
      </c>
      <c r="E11" s="28">
        <v>0</v>
      </c>
      <c r="F11" s="28">
        <v>264</v>
      </c>
      <c r="G11" s="28">
        <f>F4*6</f>
        <v>48</v>
      </c>
      <c r="H11" s="28">
        <f>(G4)*6</f>
        <v>48</v>
      </c>
      <c r="I11" s="28">
        <f>86+H4*6</f>
        <v>134</v>
      </c>
      <c r="J11" s="28">
        <f>I4*6</f>
        <v>42</v>
      </c>
      <c r="K11" s="28">
        <f t="shared" ref="K11" si="3">J4*6</f>
        <v>48</v>
      </c>
      <c r="L11" s="28">
        <f>(K4+L4)*6</f>
        <v>96</v>
      </c>
      <c r="M11" s="29">
        <f t="shared" si="1"/>
        <v>831</v>
      </c>
      <c r="P11" s="29"/>
    </row>
    <row r="12" spans="1:17" ht="18" hidden="1" customHeight="1" thickBot="1" x14ac:dyDescent="0.25">
      <c r="A12" s="56" t="s">
        <v>42</v>
      </c>
      <c r="C12" s="29">
        <v>0</v>
      </c>
      <c r="D12" s="29">
        <v>112.5</v>
      </c>
      <c r="E12" s="29">
        <v>0</v>
      </c>
      <c r="F12" s="29">
        <v>0</v>
      </c>
      <c r="G12" s="29">
        <v>0</v>
      </c>
      <c r="H12" s="29">
        <v>112.5</v>
      </c>
      <c r="I12" s="29">
        <v>0</v>
      </c>
      <c r="J12" s="29">
        <v>0</v>
      </c>
      <c r="K12" s="29">
        <v>0</v>
      </c>
      <c r="L12" s="29">
        <v>0</v>
      </c>
      <c r="M12" s="29">
        <f t="shared" si="1"/>
        <v>225</v>
      </c>
      <c r="P12" s="29"/>
    </row>
    <row r="13" spans="1:17" ht="18" hidden="1" customHeight="1" thickBot="1" x14ac:dyDescent="0.25">
      <c r="A13" s="56" t="s">
        <v>43</v>
      </c>
      <c r="C13" s="29">
        <v>0</v>
      </c>
      <c r="D13" s="29">
        <v>10</v>
      </c>
      <c r="E13" s="29">
        <v>0</v>
      </c>
      <c r="F13" s="29">
        <v>0</v>
      </c>
      <c r="G13" s="29">
        <v>0</v>
      </c>
      <c r="H13" s="29">
        <v>10</v>
      </c>
      <c r="I13" s="29">
        <v>0</v>
      </c>
      <c r="J13" s="29">
        <v>0</v>
      </c>
      <c r="K13" s="29">
        <v>0</v>
      </c>
      <c r="L13" s="29">
        <v>10</v>
      </c>
      <c r="M13" s="29">
        <f t="shared" si="1"/>
        <v>30</v>
      </c>
    </row>
    <row r="14" spans="1:17" ht="18" hidden="1" customHeight="1" thickBot="1" x14ac:dyDescent="0.25">
      <c r="A14" s="56" t="s">
        <v>15</v>
      </c>
      <c r="C14" s="53">
        <v>447.5</v>
      </c>
      <c r="D14" s="28">
        <v>0</v>
      </c>
      <c r="E14" s="28">
        <v>0</v>
      </c>
      <c r="F14" s="53">
        <v>247.5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1"/>
        <v>695</v>
      </c>
    </row>
    <row r="15" spans="1:17" ht="18" hidden="1" customHeight="1" thickBot="1" x14ac:dyDescent="0.25">
      <c r="A15" s="56" t="s">
        <v>16</v>
      </c>
      <c r="C15" s="53">
        <v>164.8</v>
      </c>
      <c r="D15" s="53">
        <v>0</v>
      </c>
      <c r="E15" s="53">
        <v>0</v>
      </c>
      <c r="F15" s="53">
        <f>74.4+E5*5</f>
        <v>89.4</v>
      </c>
      <c r="G15" s="28">
        <f>F5*5</f>
        <v>10</v>
      </c>
      <c r="H15" s="28">
        <f>G5*5</f>
        <v>10</v>
      </c>
      <c r="I15" s="28">
        <f>H5*5</f>
        <v>15</v>
      </c>
      <c r="J15" s="28">
        <f t="shared" ref="J15:K15" si="4">I5*5</f>
        <v>15</v>
      </c>
      <c r="K15" s="28">
        <f t="shared" si="4"/>
        <v>15</v>
      </c>
      <c r="L15" s="28">
        <v>0</v>
      </c>
      <c r="M15" s="29">
        <f t="shared" si="1"/>
        <v>319.20000000000005</v>
      </c>
    </row>
    <row r="16" spans="1:17" ht="18" hidden="1" customHeight="1" thickBot="1" x14ac:dyDescent="0.25">
      <c r="A16" s="56" t="s">
        <v>17</v>
      </c>
      <c r="C16" s="29">
        <f>SUM(C6:C15)</f>
        <v>2634.6800000000003</v>
      </c>
      <c r="D16" s="29">
        <f t="shared" ref="D16:L16" si="5">SUM(D6:D15)</f>
        <v>2504</v>
      </c>
      <c r="E16" s="29">
        <f t="shared" si="5"/>
        <v>2529.4</v>
      </c>
      <c r="F16" s="29">
        <f t="shared" si="5"/>
        <v>2495.7000000000003</v>
      </c>
      <c r="G16" s="29">
        <f t="shared" si="5"/>
        <v>2003.2</v>
      </c>
      <c r="H16" s="29">
        <f t="shared" si="5"/>
        <v>2442.4</v>
      </c>
      <c r="I16" s="29">
        <f t="shared" si="5"/>
        <v>2286.4</v>
      </c>
      <c r="J16" s="29">
        <f t="shared" si="5"/>
        <v>2066.8000000000002</v>
      </c>
      <c r="K16" s="29">
        <f t="shared" si="5"/>
        <v>2408.5</v>
      </c>
      <c r="L16" s="29">
        <f t="shared" si="5"/>
        <v>2115.8000000000002</v>
      </c>
      <c r="M16" s="80">
        <f>SUM(M6:M15)</f>
        <v>23486.879999999997</v>
      </c>
      <c r="N16" s="29"/>
    </row>
    <row r="17" spans="1:17" ht="16" hidden="1" customHeight="1" x14ac:dyDescent="0.2"/>
    <row r="18" spans="1:17" ht="16" hidden="1" customHeight="1" x14ac:dyDescent="0.2">
      <c r="C18" s="29"/>
      <c r="D18" s="29"/>
      <c r="E18" s="29"/>
      <c r="G18" s="29"/>
      <c r="H18" s="29"/>
      <c r="I18" s="29"/>
      <c r="K18" s="29"/>
      <c r="P18" s="29"/>
      <c r="Q18" s="29"/>
    </row>
    <row r="19" spans="1:17" ht="16" hidden="1" customHeight="1" x14ac:dyDescent="0.2"/>
    <row r="20" spans="1:17" ht="16" hidden="1" customHeight="1" x14ac:dyDescent="0.2"/>
    <row r="21" spans="1:17" ht="20" hidden="1" customHeight="1" x14ac:dyDescent="0.2">
      <c r="A21" s="38" t="s">
        <v>57</v>
      </c>
    </row>
    <row r="22" spans="1:17" ht="16" hidden="1" customHeight="1" x14ac:dyDescent="0.2">
      <c r="A22" s="39" t="s">
        <v>32</v>
      </c>
      <c r="C22" s="40">
        <f>C$2</f>
        <v>2021</v>
      </c>
      <c r="D22" s="40">
        <f t="shared" ref="D22:L22" si="6">D$2</f>
        <v>2022</v>
      </c>
      <c r="E22" s="40">
        <f t="shared" si="6"/>
        <v>2023</v>
      </c>
      <c r="F22" s="40">
        <f t="shared" si="6"/>
        <v>2024</v>
      </c>
      <c r="G22" s="40">
        <f t="shared" si="6"/>
        <v>2025</v>
      </c>
      <c r="H22" s="40">
        <f t="shared" si="6"/>
        <v>2026</v>
      </c>
      <c r="I22" s="40">
        <f t="shared" si="6"/>
        <v>2027</v>
      </c>
      <c r="J22" s="40">
        <f t="shared" si="6"/>
        <v>2028</v>
      </c>
      <c r="K22" s="40">
        <f t="shared" si="6"/>
        <v>2029</v>
      </c>
      <c r="L22" s="40">
        <f t="shared" si="6"/>
        <v>2030</v>
      </c>
      <c r="M22" s="328" t="s">
        <v>17</v>
      </c>
    </row>
    <row r="23" spans="1:17" ht="18" hidden="1" customHeight="1" thickBot="1" x14ac:dyDescent="0.25">
      <c r="C23" s="56" t="str">
        <f>C$3</f>
        <v>64/21</v>
      </c>
      <c r="D23" s="56" t="str">
        <f t="shared" ref="D23:L23" si="7">D$3</f>
        <v>72/24</v>
      </c>
      <c r="E23" s="56" t="str">
        <f t="shared" si="7"/>
        <v>80/26</v>
      </c>
      <c r="F23" s="56" t="str">
        <f t="shared" si="7"/>
        <v>88/29</v>
      </c>
      <c r="G23" s="56" t="str">
        <f t="shared" si="7"/>
        <v>96/31</v>
      </c>
      <c r="H23" s="56" t="str">
        <f t="shared" si="7"/>
        <v>104/34</v>
      </c>
      <c r="I23" s="56" t="str">
        <f t="shared" si="7"/>
        <v>111/37</v>
      </c>
      <c r="J23" s="56" t="str">
        <f t="shared" si="7"/>
        <v>119/40</v>
      </c>
      <c r="K23" s="56" t="str">
        <f t="shared" si="7"/>
        <v>127/43</v>
      </c>
      <c r="L23" s="56" t="str">
        <f t="shared" si="7"/>
        <v>135/45</v>
      </c>
      <c r="M23" s="329"/>
    </row>
    <row r="24" spans="1:17" ht="16" hidden="1" customHeight="1" x14ac:dyDescent="0.2">
      <c r="A24" t="s">
        <v>33</v>
      </c>
      <c r="C24" s="75">
        <f>C$4</f>
        <v>7</v>
      </c>
      <c r="D24" s="75">
        <f t="shared" ref="D24:L24" si="8">D$4</f>
        <v>8</v>
      </c>
      <c r="E24" s="75">
        <f t="shared" si="8"/>
        <v>8</v>
      </c>
      <c r="F24" s="75">
        <f t="shared" si="8"/>
        <v>8</v>
      </c>
      <c r="G24" s="75">
        <f t="shared" si="8"/>
        <v>8</v>
      </c>
      <c r="H24" s="75">
        <f t="shared" si="8"/>
        <v>8</v>
      </c>
      <c r="I24" s="75">
        <f t="shared" si="8"/>
        <v>7</v>
      </c>
      <c r="J24" s="75">
        <f t="shared" si="8"/>
        <v>8</v>
      </c>
      <c r="K24" s="75">
        <f t="shared" si="8"/>
        <v>8</v>
      </c>
      <c r="L24" s="75">
        <f t="shared" si="8"/>
        <v>8</v>
      </c>
      <c r="M24" s="75">
        <f>SUM(C24:L24)</f>
        <v>78</v>
      </c>
      <c r="N24" s="46" t="s">
        <v>34</v>
      </c>
    </row>
    <row r="25" spans="1:17" ht="16" hidden="1" customHeight="1" x14ac:dyDescent="0.2">
      <c r="A25" t="s">
        <v>21</v>
      </c>
      <c r="C25" s="75">
        <f>C$5</f>
        <v>2</v>
      </c>
      <c r="D25" s="75">
        <f t="shared" ref="D25:L25" si="9">D$5</f>
        <v>2</v>
      </c>
      <c r="E25" s="75">
        <f t="shared" si="9"/>
        <v>3</v>
      </c>
      <c r="F25" s="75">
        <f t="shared" si="9"/>
        <v>2</v>
      </c>
      <c r="G25" s="75">
        <f t="shared" si="9"/>
        <v>2</v>
      </c>
      <c r="H25" s="75">
        <f t="shared" si="9"/>
        <v>3</v>
      </c>
      <c r="I25" s="75">
        <f t="shared" si="9"/>
        <v>3</v>
      </c>
      <c r="J25" s="75">
        <f t="shared" si="9"/>
        <v>3</v>
      </c>
      <c r="K25" s="75">
        <f t="shared" si="9"/>
        <v>3</v>
      </c>
      <c r="L25" s="75">
        <f t="shared" si="9"/>
        <v>3</v>
      </c>
      <c r="M25" s="75">
        <f>SUM(C25:L25)</f>
        <v>26</v>
      </c>
      <c r="N25" s="46" t="s">
        <v>35</v>
      </c>
    </row>
    <row r="26" spans="1:17" ht="18" hidden="1" customHeight="1" thickBot="1" x14ac:dyDescent="0.25">
      <c r="A26" s="51" t="s">
        <v>36</v>
      </c>
      <c r="C26" s="29">
        <f>C6*1.015^(C$2-2020)</f>
        <v>1478.5504999999998</v>
      </c>
      <c r="D26" s="29">
        <f t="shared" ref="D26:L26" si="10">D6*1.015^(D$2-2020)</f>
        <v>1715.1185799999994</v>
      </c>
      <c r="E26" s="29">
        <f t="shared" si="10"/>
        <v>1740.8453586999992</v>
      </c>
      <c r="F26" s="29">
        <f t="shared" si="10"/>
        <v>1766.958039080499</v>
      </c>
      <c r="G26" s="29">
        <f t="shared" si="10"/>
        <v>1793.4624096667062</v>
      </c>
      <c r="H26" s="29">
        <f t="shared" si="10"/>
        <v>1820.3643458117065</v>
      </c>
      <c r="I26" s="29">
        <f t="shared" si="10"/>
        <v>1616.7110846240216</v>
      </c>
      <c r="J26" s="29">
        <f t="shared" si="10"/>
        <v>1875.3848581638649</v>
      </c>
      <c r="K26" s="29">
        <f t="shared" si="10"/>
        <v>1903.5156310363227</v>
      </c>
      <c r="L26" s="29">
        <f t="shared" si="10"/>
        <v>1932.0683655018672</v>
      </c>
      <c r="M26" s="29">
        <f>SUM(C26:L26)</f>
        <v>17642.979172584983</v>
      </c>
    </row>
    <row r="27" spans="1:17" ht="18" hidden="1" customHeight="1" thickBot="1" x14ac:dyDescent="0.25">
      <c r="A27" s="56" t="s">
        <v>38</v>
      </c>
      <c r="C27" s="29">
        <f t="shared" ref="C27:L28" si="11">C7*1.015^(C$2-2019)</f>
        <v>236.95174999999995</v>
      </c>
      <c r="D27" s="29">
        <f t="shared" si="11"/>
        <v>240.50602624999991</v>
      </c>
      <c r="E27" s="29">
        <f t="shared" si="11"/>
        <v>366.17042496562482</v>
      </c>
      <c r="F27" s="29">
        <f t="shared" si="11"/>
        <v>247.77532089340608</v>
      </c>
      <c r="G27" s="29">
        <f t="shared" si="11"/>
        <v>251.49195070680713</v>
      </c>
      <c r="H27" s="29">
        <f t="shared" si="11"/>
        <v>382.89649495111377</v>
      </c>
      <c r="I27" s="29">
        <f t="shared" si="11"/>
        <v>388.63994237538049</v>
      </c>
      <c r="J27" s="29">
        <f t="shared" si="11"/>
        <v>394.46954151101113</v>
      </c>
      <c r="K27" s="29">
        <f t="shared" si="11"/>
        <v>400.38658463367625</v>
      </c>
      <c r="L27" s="29">
        <f t="shared" si="11"/>
        <v>406.39238340318133</v>
      </c>
      <c r="M27" s="29">
        <f>SUM(C27:L27)</f>
        <v>3315.6804196902008</v>
      </c>
      <c r="N27" s="77">
        <f>SUM(M26:M27)</f>
        <v>20958.659592275184</v>
      </c>
      <c r="O27" s="78" t="s">
        <v>56</v>
      </c>
    </row>
    <row r="28" spans="1:17" ht="18" hidden="1" customHeight="1" thickBot="1" x14ac:dyDescent="0.25">
      <c r="A28" s="58" t="s">
        <v>20</v>
      </c>
      <c r="C28" s="29">
        <f t="shared" si="11"/>
        <v>0</v>
      </c>
      <c r="D28" s="29">
        <f t="shared" si="11"/>
        <v>351.03423048749988</v>
      </c>
      <c r="E28" s="29">
        <f t="shared" si="11"/>
        <v>0</v>
      </c>
      <c r="F28" s="29">
        <f t="shared" si="11"/>
        <v>0</v>
      </c>
      <c r="G28" s="29">
        <f t="shared" si="11"/>
        <v>55.109540502709045</v>
      </c>
      <c r="H28" s="29">
        <f t="shared" si="11"/>
        <v>279.79190254253848</v>
      </c>
      <c r="I28" s="29">
        <f t="shared" si="11"/>
        <v>378.1635613200441</v>
      </c>
      <c r="J28" s="29">
        <f t="shared" si="11"/>
        <v>0</v>
      </c>
      <c r="K28" s="29">
        <f t="shared" si="11"/>
        <v>389.59355496094236</v>
      </c>
      <c r="L28" s="29">
        <f t="shared" si="11"/>
        <v>0</v>
      </c>
      <c r="M28" s="29">
        <f t="shared" ref="M28:M35" si="12">SUM(C28:L28)</f>
        <v>1453.692789813734</v>
      </c>
    </row>
    <row r="29" spans="1:17" ht="35" hidden="1" customHeight="1" thickBot="1" x14ac:dyDescent="0.25">
      <c r="A29" s="58" t="s">
        <v>39</v>
      </c>
      <c r="C29" s="29">
        <f>C9*1.015^(C$2-2020)</f>
        <v>340.71519999999992</v>
      </c>
      <c r="D29" s="29">
        <f t="shared" ref="D29:L29" si="13">D9*1.015^(D$2-2020)</f>
        <v>0</v>
      </c>
      <c r="E29" s="29">
        <f t="shared" si="13"/>
        <v>438.76664614999987</v>
      </c>
      <c r="F29" s="29">
        <f t="shared" si="13"/>
        <v>0</v>
      </c>
      <c r="G29" s="29">
        <f>G9*1.015^(G$2-2020)</f>
        <v>0</v>
      </c>
      <c r="H29" s="29">
        <f t="shared" si="13"/>
        <v>0</v>
      </c>
      <c r="I29" s="29">
        <f t="shared" si="13"/>
        <v>0</v>
      </c>
      <c r="J29" s="29">
        <f t="shared" si="13"/>
        <v>0</v>
      </c>
      <c r="K29" s="29">
        <f t="shared" si="13"/>
        <v>0</v>
      </c>
      <c r="L29" s="29">
        <f t="shared" si="13"/>
        <v>0</v>
      </c>
      <c r="M29" s="29">
        <f t="shared" si="12"/>
        <v>779.4818461499998</v>
      </c>
      <c r="O29" s="30">
        <v>779.5</v>
      </c>
    </row>
    <row r="30" spans="1:17" ht="18" hidden="1" customHeight="1" thickBot="1" x14ac:dyDescent="0.25">
      <c r="A30" s="56" t="s">
        <v>40</v>
      </c>
      <c r="C30" s="29">
        <f t="shared" ref="C30:E35" si="14">C10*1.015^(C$2-2019)</f>
        <v>0</v>
      </c>
      <c r="D30">
        <v>0</v>
      </c>
      <c r="E30" s="29">
        <f>E$10*1.015^(D$2-2019)</f>
        <v>104.56783749999997</v>
      </c>
      <c r="F30" s="29">
        <f t="shared" ref="F30:L35" si="15">F10*1.015^(F$2-2019)</f>
        <v>0</v>
      </c>
      <c r="G30" s="29">
        <f t="shared" si="15"/>
        <v>0</v>
      </c>
      <c r="H30" s="29">
        <f t="shared" si="15"/>
        <v>0</v>
      </c>
      <c r="I30" s="29">
        <f t="shared" si="15"/>
        <v>0</v>
      </c>
      <c r="J30" s="29">
        <f t="shared" si="15"/>
        <v>0</v>
      </c>
      <c r="K30" s="29">
        <f t="shared" si="15"/>
        <v>0</v>
      </c>
      <c r="L30" s="29">
        <f t="shared" si="15"/>
        <v>0</v>
      </c>
      <c r="M30" s="29">
        <f t="shared" si="12"/>
        <v>104.56783749999997</v>
      </c>
      <c r="N30" s="29">
        <f>SUM(M28:M30)</f>
        <v>2337.7424734637334</v>
      </c>
    </row>
    <row r="31" spans="1:17" ht="18" hidden="1" customHeight="1" thickBot="1" x14ac:dyDescent="0.25">
      <c r="A31" s="56" t="s">
        <v>41</v>
      </c>
      <c r="C31" s="29">
        <f t="shared" si="14"/>
        <v>0</v>
      </c>
      <c r="D31" s="29">
        <f t="shared" si="14"/>
        <v>157.89743462499993</v>
      </c>
      <c r="E31" s="29">
        <f t="shared" si="14"/>
        <v>0</v>
      </c>
      <c r="F31" s="29">
        <f t="shared" si="15"/>
        <v>284.4029770254748</v>
      </c>
      <c r="G31" s="29">
        <f t="shared" si="15"/>
        <v>52.485276669246701</v>
      </c>
      <c r="H31" s="29">
        <f t="shared" si="15"/>
        <v>53.272555819285401</v>
      </c>
      <c r="I31" s="29">
        <f t="shared" si="15"/>
        <v>150.95000660377096</v>
      </c>
      <c r="J31" s="29">
        <f t="shared" si="15"/>
        <v>48.022378966557874</v>
      </c>
      <c r="K31" s="29">
        <f t="shared" si="15"/>
        <v>55.705959601207127</v>
      </c>
      <c r="L31" s="29">
        <f t="shared" si="15"/>
        <v>113.08309799045045</v>
      </c>
      <c r="M31" s="29">
        <f t="shared" si="12"/>
        <v>915.81968730099322</v>
      </c>
    </row>
    <row r="32" spans="1:17" ht="18" hidden="1" customHeight="1" thickBot="1" x14ac:dyDescent="0.25">
      <c r="A32" s="56" t="s">
        <v>42</v>
      </c>
      <c r="C32" s="29">
        <f t="shared" si="14"/>
        <v>0</v>
      </c>
      <c r="D32" s="29">
        <f t="shared" si="14"/>
        <v>117.63881718749995</v>
      </c>
      <c r="E32" s="29">
        <f t="shared" si="14"/>
        <v>0</v>
      </c>
      <c r="F32" s="29">
        <f t="shared" si="15"/>
        <v>0</v>
      </c>
      <c r="G32" s="29">
        <f t="shared" si="15"/>
        <v>0</v>
      </c>
      <c r="H32" s="29">
        <f t="shared" si="15"/>
        <v>124.85755270145015</v>
      </c>
      <c r="I32" s="29">
        <f t="shared" si="15"/>
        <v>0</v>
      </c>
      <c r="J32" s="29">
        <f t="shared" si="15"/>
        <v>0</v>
      </c>
      <c r="K32" s="29">
        <f t="shared" si="15"/>
        <v>0</v>
      </c>
      <c r="L32" s="29">
        <f t="shared" si="15"/>
        <v>0</v>
      </c>
      <c r="M32" s="29">
        <f t="shared" si="12"/>
        <v>242.49636988895008</v>
      </c>
    </row>
    <row r="33" spans="1:15" ht="18" hidden="1" customHeight="1" thickBot="1" x14ac:dyDescent="0.25">
      <c r="A33" s="56" t="s">
        <v>43</v>
      </c>
      <c r="C33" s="29">
        <f t="shared" si="14"/>
        <v>0</v>
      </c>
      <c r="D33" s="29">
        <f t="shared" si="14"/>
        <v>10.456783749999996</v>
      </c>
      <c r="E33" s="29">
        <f t="shared" si="14"/>
        <v>0</v>
      </c>
      <c r="F33" s="29">
        <f t="shared" si="15"/>
        <v>0</v>
      </c>
      <c r="G33" s="29">
        <f t="shared" si="15"/>
        <v>0</v>
      </c>
      <c r="H33" s="29">
        <f t="shared" si="15"/>
        <v>11.098449129017791</v>
      </c>
      <c r="I33" s="29">
        <f t="shared" si="15"/>
        <v>0</v>
      </c>
      <c r="J33" s="29">
        <f t="shared" si="15"/>
        <v>0</v>
      </c>
      <c r="K33" s="29">
        <f t="shared" si="15"/>
        <v>0</v>
      </c>
      <c r="L33" s="29">
        <f t="shared" si="15"/>
        <v>11.779489374005257</v>
      </c>
      <c r="M33" s="29">
        <f t="shared" si="12"/>
        <v>33.334722253023045</v>
      </c>
    </row>
    <row r="34" spans="1:15" ht="18" hidden="1" customHeight="1" thickBot="1" x14ac:dyDescent="0.25">
      <c r="A34" s="56" t="s">
        <v>15</v>
      </c>
      <c r="C34" s="29">
        <f>C14*1.015^(C$2-2019)</f>
        <v>461.02568749999989</v>
      </c>
      <c r="D34" s="29">
        <f t="shared" si="14"/>
        <v>0</v>
      </c>
      <c r="E34" s="29">
        <f t="shared" si="14"/>
        <v>0</v>
      </c>
      <c r="F34" s="29">
        <f t="shared" si="15"/>
        <v>266.62779096138263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  <c r="M34" s="29">
        <f t="shared" si="12"/>
        <v>727.65347846138252</v>
      </c>
    </row>
    <row r="35" spans="1:15" ht="18" hidden="1" customHeight="1" thickBot="1" x14ac:dyDescent="0.25">
      <c r="A35" s="56" t="s">
        <v>16</v>
      </c>
      <c r="C35" s="29">
        <f t="shared" si="14"/>
        <v>169.78107999999997</v>
      </c>
      <c r="D35" s="29">
        <f t="shared" si="14"/>
        <v>0</v>
      </c>
      <c r="E35" s="29">
        <f t="shared" si="14"/>
        <v>0</v>
      </c>
      <c r="F35" s="29">
        <f t="shared" si="15"/>
        <v>96.309189947263064</v>
      </c>
      <c r="G35" s="29">
        <f t="shared" si="15"/>
        <v>10.934432639426397</v>
      </c>
      <c r="H35" s="29">
        <f t="shared" si="15"/>
        <v>11.098449129017791</v>
      </c>
      <c r="I35" s="29">
        <f t="shared" si="15"/>
        <v>16.897388798929587</v>
      </c>
      <c r="J35" s="29">
        <f t="shared" si="15"/>
        <v>17.150849630913527</v>
      </c>
      <c r="K35" s="29">
        <f t="shared" si="15"/>
        <v>17.408112375377229</v>
      </c>
      <c r="L35" s="29">
        <f t="shared" si="15"/>
        <v>0</v>
      </c>
      <c r="M35" s="29">
        <f t="shared" si="12"/>
        <v>339.57950252092758</v>
      </c>
    </row>
    <row r="36" spans="1:15" ht="18" hidden="1" customHeight="1" thickBot="1" x14ac:dyDescent="0.25">
      <c r="A36" s="56" t="s">
        <v>17</v>
      </c>
      <c r="C36" s="29">
        <f>SUM(C26:C35)</f>
        <v>2687.0242174999994</v>
      </c>
      <c r="D36" s="29">
        <f t="shared" ref="D36:L36" si="16">SUM(D26:D35)</f>
        <v>2592.651872299999</v>
      </c>
      <c r="E36" s="29">
        <f t="shared" si="16"/>
        <v>2650.3502673156236</v>
      </c>
      <c r="F36" s="29">
        <f t="shared" si="16"/>
        <v>2662.0733179080257</v>
      </c>
      <c r="G36" s="29">
        <f t="shared" si="16"/>
        <v>2163.483610184895</v>
      </c>
      <c r="H36" s="29">
        <f t="shared" si="16"/>
        <v>2683.3797500841301</v>
      </c>
      <c r="I36" s="29">
        <f t="shared" si="16"/>
        <v>2551.3619837221468</v>
      </c>
      <c r="J36" s="29">
        <f t="shared" si="16"/>
        <v>2335.0276282723471</v>
      </c>
      <c r="K36" s="29">
        <f t="shared" si="16"/>
        <v>2766.6098426075259</v>
      </c>
      <c r="L36" s="29">
        <f t="shared" si="16"/>
        <v>2463.3233362695041</v>
      </c>
      <c r="M36" s="80">
        <f>SUM(C36:L36)</f>
        <v>25555.285826164196</v>
      </c>
      <c r="N36" s="29">
        <f>SUM(M26:M35)</f>
        <v>25555.285826164196</v>
      </c>
    </row>
    <row r="37" spans="1:15" ht="16" hidden="1" customHeight="1" x14ac:dyDescent="0.2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5" x14ac:dyDescent="0.2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5" ht="21" thickBot="1" x14ac:dyDescent="0.25">
      <c r="A39" s="38" t="s">
        <v>31</v>
      </c>
    </row>
    <row r="40" spans="1:15" ht="16" customHeight="1" x14ac:dyDescent="0.2">
      <c r="A40" s="39" t="s">
        <v>32</v>
      </c>
      <c r="C40" s="40">
        <f>C$2</f>
        <v>2021</v>
      </c>
      <c r="D40" s="40">
        <f t="shared" ref="D40:L40" si="17">D$2</f>
        <v>2022</v>
      </c>
      <c r="E40" s="40">
        <f t="shared" si="17"/>
        <v>2023</v>
      </c>
      <c r="F40" s="40">
        <f t="shared" si="17"/>
        <v>2024</v>
      </c>
      <c r="G40" s="40">
        <f t="shared" si="17"/>
        <v>2025</v>
      </c>
      <c r="H40" s="40">
        <f t="shared" si="17"/>
        <v>2026</v>
      </c>
      <c r="I40" s="40">
        <f t="shared" si="17"/>
        <v>2027</v>
      </c>
      <c r="J40" s="40">
        <f t="shared" si="17"/>
        <v>2028</v>
      </c>
      <c r="K40" s="40">
        <f t="shared" si="17"/>
        <v>2029</v>
      </c>
      <c r="L40" s="40">
        <f t="shared" si="17"/>
        <v>2030</v>
      </c>
      <c r="M40" s="328" t="s">
        <v>17</v>
      </c>
    </row>
    <row r="41" spans="1:15" ht="18" customHeight="1" thickBot="1" x14ac:dyDescent="0.25">
      <c r="C41" s="41" t="str">
        <f>C$3</f>
        <v>64/21</v>
      </c>
      <c r="D41" s="41" t="str">
        <f t="shared" ref="D41:L41" si="18">D$3</f>
        <v>72/24</v>
      </c>
      <c r="E41" s="41" t="str">
        <f t="shared" si="18"/>
        <v>80/26</v>
      </c>
      <c r="F41" s="41" t="str">
        <f t="shared" si="18"/>
        <v>88/29</v>
      </c>
      <c r="G41" s="41" t="str">
        <f t="shared" si="18"/>
        <v>96/31</v>
      </c>
      <c r="H41" s="41" t="str">
        <f t="shared" si="18"/>
        <v>104/34</v>
      </c>
      <c r="I41" s="41" t="str">
        <f t="shared" si="18"/>
        <v>111/37</v>
      </c>
      <c r="J41" s="41" t="str">
        <f t="shared" si="18"/>
        <v>119/40</v>
      </c>
      <c r="K41" s="41" t="str">
        <f t="shared" si="18"/>
        <v>127/43</v>
      </c>
      <c r="L41" s="41" t="str">
        <f t="shared" si="18"/>
        <v>135/45</v>
      </c>
      <c r="M41" s="329"/>
    </row>
    <row r="42" spans="1:15" x14ac:dyDescent="0.2">
      <c r="A42" t="s">
        <v>33</v>
      </c>
      <c r="C42" s="42">
        <f>C$4</f>
        <v>7</v>
      </c>
      <c r="D42" s="43">
        <f t="shared" ref="D42:L42" si="19">D$4</f>
        <v>8</v>
      </c>
      <c r="E42" s="43">
        <f t="shared" si="19"/>
        <v>8</v>
      </c>
      <c r="F42" s="43">
        <f t="shared" si="19"/>
        <v>8</v>
      </c>
      <c r="G42" s="44">
        <f t="shared" si="19"/>
        <v>8</v>
      </c>
      <c r="H42" s="42">
        <f t="shared" si="19"/>
        <v>8</v>
      </c>
      <c r="I42" s="43">
        <f t="shared" si="19"/>
        <v>7</v>
      </c>
      <c r="J42" s="43">
        <f t="shared" si="19"/>
        <v>8</v>
      </c>
      <c r="K42" s="43">
        <f t="shared" si="19"/>
        <v>8</v>
      </c>
      <c r="L42" s="44">
        <f t="shared" si="19"/>
        <v>8</v>
      </c>
      <c r="M42" s="45">
        <f>SUM(C42:L42)</f>
        <v>78</v>
      </c>
      <c r="N42" s="46" t="s">
        <v>34</v>
      </c>
    </row>
    <row r="43" spans="1:15" ht="17" thickBot="1" x14ac:dyDescent="0.25">
      <c r="A43" t="s">
        <v>21</v>
      </c>
      <c r="C43" s="47">
        <v>2</v>
      </c>
      <c r="D43" s="48">
        <f t="shared" ref="D43:L43" si="20">D$5</f>
        <v>2</v>
      </c>
      <c r="E43" s="48">
        <f t="shared" si="20"/>
        <v>3</v>
      </c>
      <c r="F43" s="48">
        <f t="shared" si="20"/>
        <v>2</v>
      </c>
      <c r="G43" s="49">
        <f t="shared" si="20"/>
        <v>2</v>
      </c>
      <c r="H43" s="47">
        <f t="shared" si="20"/>
        <v>3</v>
      </c>
      <c r="I43" s="48">
        <f t="shared" si="20"/>
        <v>3</v>
      </c>
      <c r="J43" s="48">
        <f t="shared" si="20"/>
        <v>3</v>
      </c>
      <c r="K43" s="48">
        <f t="shared" si="20"/>
        <v>3</v>
      </c>
      <c r="L43" s="49">
        <f t="shared" si="20"/>
        <v>3</v>
      </c>
      <c r="M43" s="50">
        <f>SUM(C43:L43)</f>
        <v>26</v>
      </c>
      <c r="N43" s="46" t="s">
        <v>35</v>
      </c>
    </row>
    <row r="44" spans="1:15" ht="18" customHeight="1" thickBot="1" x14ac:dyDescent="0.25">
      <c r="A44" s="51" t="s">
        <v>36</v>
      </c>
      <c r="C44" s="52">
        <f>C42*206.5*1.015^(C40-2020)*(1-(C42-1)*0.03) + C42*1.6*1.015^(C40-2020)</f>
        <v>1214.4576499999998</v>
      </c>
      <c r="D44" s="52">
        <f>D42*206.5*1.015^(D40-2020)*(1-(D42-1)*0.03) + D42*1.6*1.015^(D40-2020)</f>
        <v>1357.7129229999998</v>
      </c>
      <c r="E44" s="52">
        <f t="shared" ref="E44:I44" si="21">E42*206.5*1.015^(E40-2020)*(1-(E42-1)*0.03) + E42*1.6*1.015^(E40-2020)</f>
        <v>1378.0786168449995</v>
      </c>
      <c r="F44" s="52">
        <f t="shared" si="21"/>
        <v>1398.7497960976743</v>
      </c>
      <c r="G44" s="52">
        <f t="shared" si="21"/>
        <v>1419.7310430391392</v>
      </c>
      <c r="H44" s="52">
        <f t="shared" si="21"/>
        <v>1441.0270086847263</v>
      </c>
      <c r="I44" s="52">
        <f t="shared" si="21"/>
        <v>1327.9405367361078</v>
      </c>
      <c r="J44" s="52">
        <f>J42*206.5*1.015^(J40-2020)*(1-(J42-2)*0.03) + J42*1.6*1.015^(J40-2020)</f>
        <v>1540.4110226138848</v>
      </c>
      <c r="K44" s="52">
        <f>K42*206.5*1.015^(K40-2020)*(1-(K42-2)*0.03) + K42*1.6*1.015^(K40-2020)</f>
        <v>1563.5171879530931</v>
      </c>
      <c r="L44" s="52">
        <f>L42*206.5*1.015^(L40-2020)*(1-(L42-2)*0.03) + L42*1.6*1.015^(L40-2020)</f>
        <v>1586.9699457723893</v>
      </c>
      <c r="M44" s="55">
        <f>SUM(C44:L44)</f>
        <v>14228.595730742014</v>
      </c>
      <c r="N44" s="326">
        <f>SUM(M44:M45)</f>
        <v>17320.018245151703</v>
      </c>
      <c r="O44" s="327" t="s">
        <v>37</v>
      </c>
    </row>
    <row r="45" spans="1:15" ht="18" thickBot="1" x14ac:dyDescent="0.25">
      <c r="A45" s="56" t="s">
        <v>38</v>
      </c>
      <c r="C45" s="52">
        <f>C43*115*1.015^(C40-2019)*(1-(0.025*C43))</f>
        <v>225.10416249999994</v>
      </c>
      <c r="D45" s="52">
        <f>D43*115*1.015^(D40-2019)*(1-(0.025*D43))</f>
        <v>228.4807249374999</v>
      </c>
      <c r="E45" s="52">
        <f t="shared" ref="E45:L45" si="22">E43*115*1.015^(E40-2019)*(1-(0.025*E43))</f>
        <v>338.70764309320299</v>
      </c>
      <c r="F45" s="52">
        <f t="shared" si="22"/>
        <v>235.38655484873576</v>
      </c>
      <c r="G45" s="52">
        <f>G43*115*1.015^(G40-2019)*(1-(0.025*G43))</f>
        <v>238.91735317146677</v>
      </c>
      <c r="H45" s="52">
        <f t="shared" si="22"/>
        <v>354.17925782978023</v>
      </c>
      <c r="I45" s="52">
        <f t="shared" si="22"/>
        <v>359.49194669722698</v>
      </c>
      <c r="J45" s="52">
        <f t="shared" si="22"/>
        <v>364.8843258976853</v>
      </c>
      <c r="K45" s="52">
        <f t="shared" si="22"/>
        <v>370.35759078615052</v>
      </c>
      <c r="L45" s="52">
        <f t="shared" si="22"/>
        <v>375.91295464794274</v>
      </c>
      <c r="M45" s="57">
        <f t="shared" ref="M45:M53" si="23">SUM(C45:L45)</f>
        <v>3091.4225144096908</v>
      </c>
      <c r="N45" s="326"/>
      <c r="O45" s="327"/>
    </row>
    <row r="46" spans="1:15" ht="18" thickBot="1" x14ac:dyDescent="0.25">
      <c r="A46" s="58" t="s">
        <v>20</v>
      </c>
      <c r="C46" s="52">
        <f>C8*1.015^(C$2-2020)</f>
        <v>0</v>
      </c>
      <c r="D46" s="53">
        <f t="shared" ref="D46:L47" si="24">D8*1.015^(D$2-2020)</f>
        <v>345.84653249999991</v>
      </c>
      <c r="E46" s="53">
        <f t="shared" si="24"/>
        <v>0</v>
      </c>
      <c r="F46" s="53">
        <f t="shared" si="24"/>
        <v>0</v>
      </c>
      <c r="G46" s="54">
        <f t="shared" si="24"/>
        <v>54.295113795772473</v>
      </c>
      <c r="H46" s="52">
        <f t="shared" si="24"/>
        <v>275.65704683993948</v>
      </c>
      <c r="I46" s="53">
        <f t="shared" si="24"/>
        <v>372.57493726112722</v>
      </c>
      <c r="J46" s="53">
        <f t="shared" si="24"/>
        <v>0</v>
      </c>
      <c r="K46" s="53">
        <f t="shared" si="24"/>
        <v>383.8360147398447</v>
      </c>
      <c r="L46" s="54">
        <f t="shared" si="24"/>
        <v>0</v>
      </c>
      <c r="M46" s="55">
        <f>SUM(C46:L46)</f>
        <v>1432.2096451366838</v>
      </c>
    </row>
    <row r="47" spans="1:15" ht="35" thickBot="1" x14ac:dyDescent="0.25">
      <c r="A47" s="58" t="s">
        <v>39</v>
      </c>
      <c r="C47" s="52">
        <f>C9*1.015^(C$2-2020)</f>
        <v>340.71519999999992</v>
      </c>
      <c r="D47" s="53">
        <f t="shared" si="24"/>
        <v>0</v>
      </c>
      <c r="E47" s="53">
        <f t="shared" si="24"/>
        <v>438.76664614999987</v>
      </c>
      <c r="F47" s="53">
        <f t="shared" si="24"/>
        <v>0</v>
      </c>
      <c r="G47" s="54">
        <f t="shared" si="24"/>
        <v>0</v>
      </c>
      <c r="H47" s="52">
        <f t="shared" si="24"/>
        <v>0</v>
      </c>
      <c r="I47" s="53">
        <f t="shared" si="24"/>
        <v>0</v>
      </c>
      <c r="J47" s="53">
        <f t="shared" si="24"/>
        <v>0</v>
      </c>
      <c r="K47" s="53">
        <f t="shared" si="24"/>
        <v>0</v>
      </c>
      <c r="L47" s="54">
        <f t="shared" si="24"/>
        <v>0</v>
      </c>
      <c r="M47" s="57">
        <f t="shared" si="23"/>
        <v>779.4818461499998</v>
      </c>
    </row>
    <row r="48" spans="1:15" ht="18" thickBot="1" x14ac:dyDescent="0.25">
      <c r="A48" s="56" t="s">
        <v>40</v>
      </c>
      <c r="C48" s="52">
        <f t="shared" ref="C48:G53" si="25">C10*1.015^(C$2-2019)</f>
        <v>0</v>
      </c>
      <c r="D48" s="59">
        <v>0</v>
      </c>
      <c r="E48" s="53">
        <f>E$10*1.015^(D$2-2019)</f>
        <v>104.56783749999997</v>
      </c>
      <c r="F48" s="53">
        <f t="shared" ref="F48:L53" si="26">F10*1.015^(F$2-2019)</f>
        <v>0</v>
      </c>
      <c r="G48" s="54">
        <f t="shared" si="26"/>
        <v>0</v>
      </c>
      <c r="H48" s="52">
        <f t="shared" si="26"/>
        <v>0</v>
      </c>
      <c r="I48" s="53">
        <f t="shared" si="26"/>
        <v>0</v>
      </c>
      <c r="J48" s="53">
        <f t="shared" si="26"/>
        <v>0</v>
      </c>
      <c r="K48" s="53">
        <f t="shared" si="26"/>
        <v>0</v>
      </c>
      <c r="L48" s="54">
        <f t="shared" si="26"/>
        <v>0</v>
      </c>
      <c r="M48" s="57">
        <f t="shared" si="23"/>
        <v>104.56783749999997</v>
      </c>
      <c r="N48" s="29"/>
    </row>
    <row r="49" spans="1:14" ht="18" thickBot="1" x14ac:dyDescent="0.25">
      <c r="A49" s="56" t="s">
        <v>41</v>
      </c>
      <c r="C49" s="52">
        <f t="shared" si="25"/>
        <v>0</v>
      </c>
      <c r="D49" s="53">
        <f t="shared" si="25"/>
        <v>157.89743462499993</v>
      </c>
      <c r="E49" s="53">
        <f t="shared" si="25"/>
        <v>0</v>
      </c>
      <c r="F49" s="53">
        <f t="shared" si="25"/>
        <v>284.4029770254748</v>
      </c>
      <c r="G49" s="54">
        <f t="shared" si="25"/>
        <v>52.485276669246701</v>
      </c>
      <c r="H49" s="52">
        <f>H11*1.015^(H$2-2019)</f>
        <v>53.272555819285401</v>
      </c>
      <c r="I49" s="53">
        <f t="shared" si="26"/>
        <v>150.95000660377096</v>
      </c>
      <c r="J49" s="53">
        <f t="shared" si="26"/>
        <v>48.022378966557874</v>
      </c>
      <c r="K49" s="53">
        <f t="shared" si="26"/>
        <v>55.705959601207127</v>
      </c>
      <c r="L49" s="54">
        <f t="shared" si="26"/>
        <v>113.08309799045045</v>
      </c>
      <c r="M49" s="57">
        <f t="shared" si="23"/>
        <v>915.81968730099322</v>
      </c>
      <c r="N49" s="29"/>
    </row>
    <row r="50" spans="1:14" ht="18" thickBot="1" x14ac:dyDescent="0.25">
      <c r="A50" s="56" t="s">
        <v>42</v>
      </c>
      <c r="C50" s="52">
        <f t="shared" si="25"/>
        <v>0</v>
      </c>
      <c r="D50" s="53">
        <f t="shared" si="25"/>
        <v>117.63881718749995</v>
      </c>
      <c r="E50" s="53">
        <f t="shared" si="25"/>
        <v>0</v>
      </c>
      <c r="F50" s="53">
        <f t="shared" si="26"/>
        <v>0</v>
      </c>
      <c r="G50" s="54">
        <f t="shared" si="26"/>
        <v>0</v>
      </c>
      <c r="H50" s="52">
        <f t="shared" si="26"/>
        <v>124.85755270145015</v>
      </c>
      <c r="I50" s="53">
        <f t="shared" si="26"/>
        <v>0</v>
      </c>
      <c r="J50" s="53">
        <f t="shared" si="26"/>
        <v>0</v>
      </c>
      <c r="K50" s="53">
        <f t="shared" si="26"/>
        <v>0</v>
      </c>
      <c r="L50" s="54">
        <f t="shared" si="26"/>
        <v>0</v>
      </c>
      <c r="M50" s="57">
        <f t="shared" si="23"/>
        <v>242.49636988895008</v>
      </c>
    </row>
    <row r="51" spans="1:14" ht="18" thickBot="1" x14ac:dyDescent="0.25">
      <c r="A51" s="56" t="s">
        <v>43</v>
      </c>
      <c r="C51" s="52">
        <f t="shared" si="25"/>
        <v>0</v>
      </c>
      <c r="D51" s="53">
        <f t="shared" si="25"/>
        <v>10.456783749999996</v>
      </c>
      <c r="E51" s="53">
        <f t="shared" si="25"/>
        <v>0</v>
      </c>
      <c r="F51" s="53">
        <f t="shared" si="26"/>
        <v>0</v>
      </c>
      <c r="G51" s="54">
        <f t="shared" si="26"/>
        <v>0</v>
      </c>
      <c r="H51" s="52">
        <f t="shared" si="26"/>
        <v>11.098449129017791</v>
      </c>
      <c r="I51" s="53">
        <f t="shared" si="26"/>
        <v>0</v>
      </c>
      <c r="J51" s="53">
        <f t="shared" si="26"/>
        <v>0</v>
      </c>
      <c r="K51" s="53">
        <f t="shared" si="26"/>
        <v>0</v>
      </c>
      <c r="L51" s="54">
        <f t="shared" si="26"/>
        <v>11.779489374005257</v>
      </c>
      <c r="M51" s="57">
        <f t="shared" si="23"/>
        <v>33.334722253023045</v>
      </c>
    </row>
    <row r="52" spans="1:14" ht="18" thickBot="1" x14ac:dyDescent="0.25">
      <c r="A52" s="56" t="s">
        <v>15</v>
      </c>
      <c r="C52" s="52">
        <f t="shared" si="25"/>
        <v>461.02568749999989</v>
      </c>
      <c r="D52" s="53">
        <f t="shared" si="25"/>
        <v>0</v>
      </c>
      <c r="E52" s="53">
        <f t="shared" si="25"/>
        <v>0</v>
      </c>
      <c r="F52" s="53">
        <f t="shared" si="26"/>
        <v>266.62779096138263</v>
      </c>
      <c r="G52" s="54">
        <f t="shared" si="26"/>
        <v>0</v>
      </c>
      <c r="H52" s="52">
        <f t="shared" si="26"/>
        <v>0</v>
      </c>
      <c r="I52" s="53">
        <f t="shared" si="26"/>
        <v>0</v>
      </c>
      <c r="J52" s="53">
        <f t="shared" si="26"/>
        <v>0</v>
      </c>
      <c r="K52" s="53">
        <f t="shared" si="26"/>
        <v>0</v>
      </c>
      <c r="L52" s="54">
        <f t="shared" si="26"/>
        <v>0</v>
      </c>
      <c r="M52" s="57">
        <f t="shared" si="23"/>
        <v>727.65347846138252</v>
      </c>
    </row>
    <row r="53" spans="1:14" ht="18" thickBot="1" x14ac:dyDescent="0.25">
      <c r="A53" s="56" t="s">
        <v>16</v>
      </c>
      <c r="C53" s="52">
        <f t="shared" si="25"/>
        <v>169.78107999999997</v>
      </c>
      <c r="D53" s="53">
        <f t="shared" si="25"/>
        <v>0</v>
      </c>
      <c r="E53" s="53">
        <f t="shared" si="25"/>
        <v>0</v>
      </c>
      <c r="F53" s="53">
        <f t="shared" si="26"/>
        <v>96.309189947263064</v>
      </c>
      <c r="G53" s="54">
        <f t="shared" si="26"/>
        <v>10.934432639426397</v>
      </c>
      <c r="H53" s="52">
        <f>H15*1.015^(H$2-2019)</f>
        <v>11.098449129017791</v>
      </c>
      <c r="I53" s="53">
        <f t="shared" si="26"/>
        <v>16.897388798929587</v>
      </c>
      <c r="J53" s="53">
        <f t="shared" si="26"/>
        <v>17.150849630913527</v>
      </c>
      <c r="K53" s="53">
        <f t="shared" si="26"/>
        <v>17.408112375377229</v>
      </c>
      <c r="L53" s="54">
        <f t="shared" si="26"/>
        <v>0</v>
      </c>
      <c r="M53" s="57">
        <f t="shared" si="23"/>
        <v>339.57950252092758</v>
      </c>
    </row>
    <row r="54" spans="1:14" ht="18" thickBot="1" x14ac:dyDescent="0.25">
      <c r="A54" s="56" t="s">
        <v>17</v>
      </c>
      <c r="C54" s="60">
        <f>SUM(C44:C53)</f>
        <v>2411.0837799999999</v>
      </c>
      <c r="D54" s="61">
        <f t="shared" ref="D54:L54" si="27">SUM(D44:D53)</f>
        <v>2218.0332159999994</v>
      </c>
      <c r="E54" s="61">
        <f t="shared" si="27"/>
        <v>2260.120743588202</v>
      </c>
      <c r="F54" s="61">
        <f t="shared" si="27"/>
        <v>2281.4763088805307</v>
      </c>
      <c r="G54" s="62">
        <f t="shared" si="27"/>
        <v>1776.3632193150518</v>
      </c>
      <c r="H54" s="60">
        <f t="shared" si="27"/>
        <v>2271.190320133217</v>
      </c>
      <c r="I54" s="61">
        <f t="shared" si="27"/>
        <v>2227.8548160971623</v>
      </c>
      <c r="J54" s="61">
        <f t="shared" si="27"/>
        <v>1970.4685771090417</v>
      </c>
      <c r="K54" s="61">
        <f t="shared" si="27"/>
        <v>2390.8248654556728</v>
      </c>
      <c r="L54" s="62">
        <f t="shared" si="27"/>
        <v>2087.7454877847877</v>
      </c>
      <c r="M54" s="63">
        <f>SUM(C54:L54)</f>
        <v>21895.161334363667</v>
      </c>
    </row>
    <row r="55" spans="1:14" ht="16" hidden="1" customHeight="1" x14ac:dyDescent="0.2">
      <c r="C55" s="64"/>
      <c r="D55" s="64"/>
      <c r="E55" s="64"/>
      <c r="F55" s="64"/>
      <c r="G55" s="65"/>
      <c r="H55" s="64"/>
      <c r="I55" s="64"/>
      <c r="J55" s="64"/>
      <c r="K55" s="64"/>
      <c r="L55" s="66"/>
      <c r="M55" s="64"/>
    </row>
    <row r="56" spans="1:14" x14ac:dyDescent="0.2">
      <c r="C56" s="67"/>
      <c r="D56" s="67"/>
      <c r="E56" s="67"/>
      <c r="F56" s="67"/>
      <c r="G56" s="68">
        <f>SUM(C54:G54)</f>
        <v>10947.077267783783</v>
      </c>
      <c r="H56" s="67"/>
      <c r="I56" s="67"/>
      <c r="J56" s="67"/>
      <c r="K56" s="67"/>
      <c r="L56" s="69">
        <f>M54-G56</f>
        <v>10948.084066579884</v>
      </c>
      <c r="M56" s="67"/>
    </row>
    <row r="57" spans="1:14" x14ac:dyDescent="0.2">
      <c r="C57" s="29"/>
      <c r="D57" s="29"/>
      <c r="E57" s="29"/>
      <c r="F57" s="70" t="s">
        <v>44</v>
      </c>
      <c r="G57" s="29">
        <v>10946</v>
      </c>
      <c r="H57" s="29"/>
      <c r="I57" s="29">
        <f>G8+H8</f>
        <v>302.5</v>
      </c>
      <c r="J57" s="29"/>
      <c r="K57" s="29"/>
      <c r="L57" s="29"/>
      <c r="M57" s="29">
        <v>21897</v>
      </c>
    </row>
    <row r="58" spans="1:14" x14ac:dyDescent="0.2">
      <c r="G58" s="29">
        <f>G56-G57</f>
        <v>1.0772677837830997</v>
      </c>
      <c r="H58" s="29"/>
      <c r="I58" s="29">
        <v>302.5</v>
      </c>
      <c r="M58" s="71">
        <f>M57-M54</f>
        <v>1.8386656363327347</v>
      </c>
    </row>
    <row r="61" spans="1:14" ht="20" hidden="1" customHeight="1" x14ac:dyDescent="0.2">
      <c r="A61" s="38" t="s">
        <v>58</v>
      </c>
    </row>
    <row r="62" spans="1:14" ht="16" hidden="1" customHeight="1" x14ac:dyDescent="0.2">
      <c r="A62" s="39" t="s">
        <v>32</v>
      </c>
      <c r="C62" s="40">
        <f>C$2</f>
        <v>2021</v>
      </c>
      <c r="D62" s="40">
        <f t="shared" ref="D62:L62" si="28">D$2</f>
        <v>2022</v>
      </c>
      <c r="E62" s="40">
        <f t="shared" si="28"/>
        <v>2023</v>
      </c>
      <c r="F62" s="40">
        <f t="shared" si="28"/>
        <v>2024</v>
      </c>
      <c r="G62" s="40">
        <f t="shared" si="28"/>
        <v>2025</v>
      </c>
      <c r="H62" s="40">
        <f t="shared" si="28"/>
        <v>2026</v>
      </c>
      <c r="I62" s="40">
        <f t="shared" si="28"/>
        <v>2027</v>
      </c>
      <c r="J62" s="40">
        <f t="shared" si="28"/>
        <v>2028</v>
      </c>
      <c r="K62" s="40">
        <f t="shared" si="28"/>
        <v>2029</v>
      </c>
      <c r="L62" s="40">
        <f t="shared" si="28"/>
        <v>2030</v>
      </c>
      <c r="M62" s="328" t="s">
        <v>17</v>
      </c>
      <c r="N62" s="46" t="s">
        <v>34</v>
      </c>
    </row>
    <row r="63" spans="1:14" ht="18" hidden="1" customHeight="1" thickBot="1" x14ac:dyDescent="0.25">
      <c r="A63" s="39" t="s">
        <v>59</v>
      </c>
      <c r="C63" s="56" t="str">
        <f>C$3</f>
        <v>64/21</v>
      </c>
      <c r="D63" s="56" t="str">
        <f t="shared" ref="D63:L63" si="29">D$3</f>
        <v>72/24</v>
      </c>
      <c r="E63" s="56" t="str">
        <f t="shared" si="29"/>
        <v>80/26</v>
      </c>
      <c r="F63" s="56" t="str">
        <f t="shared" si="29"/>
        <v>88/29</v>
      </c>
      <c r="G63" s="56" t="str">
        <f t="shared" si="29"/>
        <v>96/31</v>
      </c>
      <c r="H63" s="56" t="str">
        <f t="shared" si="29"/>
        <v>104/34</v>
      </c>
      <c r="I63" s="56" t="str">
        <f t="shared" si="29"/>
        <v>111/37</v>
      </c>
      <c r="J63" s="56" t="str">
        <f t="shared" si="29"/>
        <v>119/40</v>
      </c>
      <c r="K63" s="56" t="str">
        <f t="shared" si="29"/>
        <v>127/43</v>
      </c>
      <c r="L63" s="56" t="str">
        <f t="shared" si="29"/>
        <v>135/45</v>
      </c>
      <c r="M63" s="329"/>
      <c r="N63" s="46" t="s">
        <v>35</v>
      </c>
    </row>
    <row r="64" spans="1:14" ht="16" hidden="1" customHeight="1" x14ac:dyDescent="0.2">
      <c r="A64" t="s">
        <v>33</v>
      </c>
      <c r="C64" s="75">
        <f>C$4</f>
        <v>7</v>
      </c>
      <c r="D64" s="75">
        <f t="shared" ref="D64:L64" si="30">D$4</f>
        <v>8</v>
      </c>
      <c r="E64" s="75">
        <f t="shared" si="30"/>
        <v>8</v>
      </c>
      <c r="F64" s="75">
        <f t="shared" si="30"/>
        <v>8</v>
      </c>
      <c r="G64" s="75">
        <f t="shared" si="30"/>
        <v>8</v>
      </c>
      <c r="H64" s="75">
        <f t="shared" si="30"/>
        <v>8</v>
      </c>
      <c r="I64" s="75">
        <f t="shared" si="30"/>
        <v>7</v>
      </c>
      <c r="J64" s="75">
        <f t="shared" si="30"/>
        <v>8</v>
      </c>
      <c r="K64" s="75">
        <f t="shared" si="30"/>
        <v>8</v>
      </c>
      <c r="L64" s="75">
        <f t="shared" si="30"/>
        <v>8</v>
      </c>
      <c r="M64" s="75">
        <v>78</v>
      </c>
    </row>
    <row r="65" spans="1:15" ht="16" hidden="1" customHeight="1" x14ac:dyDescent="0.2">
      <c r="A65" t="s">
        <v>21</v>
      </c>
      <c r="C65" s="75">
        <f>C$5</f>
        <v>2</v>
      </c>
      <c r="D65" s="75">
        <f t="shared" ref="D65:L65" si="31">D$5</f>
        <v>2</v>
      </c>
      <c r="E65" s="75">
        <f t="shared" si="31"/>
        <v>3</v>
      </c>
      <c r="F65" s="75">
        <f t="shared" si="31"/>
        <v>2</v>
      </c>
      <c r="G65" s="75">
        <f t="shared" si="31"/>
        <v>2</v>
      </c>
      <c r="H65" s="75">
        <f t="shared" si="31"/>
        <v>3</v>
      </c>
      <c r="I65" s="75">
        <f t="shared" si="31"/>
        <v>3</v>
      </c>
      <c r="J65" s="75">
        <f t="shared" si="31"/>
        <v>3</v>
      </c>
      <c r="K65" s="75">
        <f t="shared" si="31"/>
        <v>3</v>
      </c>
      <c r="L65" s="75">
        <f t="shared" si="31"/>
        <v>3</v>
      </c>
      <c r="M65" s="75">
        <v>26</v>
      </c>
    </row>
    <row r="66" spans="1:15" ht="18" hidden="1" customHeight="1" thickBot="1" x14ac:dyDescent="0.25">
      <c r="A66" s="51" t="s">
        <v>36</v>
      </c>
      <c r="C66" s="71">
        <f t="shared" ref="C66:I66" si="32">C4*206.5*1.025^(C$2-2020)*(1-(C4-1)*0.03) + C4*1.6*1.025^(C$2-2020)</f>
        <v>1226.42275</v>
      </c>
      <c r="D66" s="71">
        <f t="shared" si="32"/>
        <v>1384.5976750000002</v>
      </c>
      <c r="E66" s="71">
        <f t="shared" si="32"/>
        <v>1419.2126168749999</v>
      </c>
      <c r="F66" s="71">
        <f t="shared" si="32"/>
        <v>1454.6929322968749</v>
      </c>
      <c r="G66" s="71">
        <f t="shared" si="32"/>
        <v>1491.0602556042966</v>
      </c>
      <c r="H66" s="71">
        <f t="shared" si="32"/>
        <v>1528.3367619944038</v>
      </c>
      <c r="I66" s="71">
        <f t="shared" si="32"/>
        <v>1422.2743911215532</v>
      </c>
      <c r="J66" s="71">
        <f>J4*206.5*1.025^(J$2-2020)*(1-(J4-2)*0.03) + J4*1.6*1.025^(J$2-2020)</f>
        <v>1666.092858170962</v>
      </c>
      <c r="K66" s="71">
        <f>K4*206.5*1.025^(K$2-2020)*(1-(K4-2)*0.03) + K4*1.6*1.025^(K$2-2020)</f>
        <v>1707.7451796252358</v>
      </c>
      <c r="L66" s="71">
        <f>L4*206.5*1.025^(L$2-2020)*(1-(L4-2)*0.03) + L4*1.6*1.025^(L$2-2020)</f>
        <v>1750.4388091158664</v>
      </c>
      <c r="M66" s="71">
        <f>SUM(C66:L66)</f>
        <v>15050.874229804193</v>
      </c>
    </row>
    <row r="67" spans="1:15" ht="18" hidden="1" customHeight="1" thickBot="1" x14ac:dyDescent="0.25">
      <c r="A67" s="56" t="s">
        <v>38</v>
      </c>
      <c r="C67" s="71">
        <f t="shared" ref="C67:L67" si="33">C7*1.015^(C$2-2019)*(1-(0.025*C65))</f>
        <v>225.10416249999994</v>
      </c>
      <c r="D67" s="71">
        <f t="shared" si="33"/>
        <v>228.4807249374999</v>
      </c>
      <c r="E67" s="71">
        <f t="shared" si="33"/>
        <v>338.70764309320299</v>
      </c>
      <c r="F67" s="71">
        <f t="shared" si="33"/>
        <v>235.38655484873576</v>
      </c>
      <c r="G67" s="71">
        <f t="shared" si="33"/>
        <v>238.91735317146677</v>
      </c>
      <c r="H67" s="71">
        <f t="shared" si="33"/>
        <v>354.17925782978023</v>
      </c>
      <c r="I67" s="71">
        <f t="shared" si="33"/>
        <v>359.49194669722698</v>
      </c>
      <c r="J67" s="71">
        <f t="shared" si="33"/>
        <v>364.8843258976853</v>
      </c>
      <c r="K67" s="71">
        <f t="shared" si="33"/>
        <v>370.35759078615052</v>
      </c>
      <c r="L67" s="71">
        <f t="shared" si="33"/>
        <v>375.91295464794274</v>
      </c>
      <c r="M67" s="71">
        <f t="shared" ref="M67:M75" si="34">SUM(C67:L67)</f>
        <v>3091.4225144096908</v>
      </c>
      <c r="N67" s="77">
        <f>SUM(M66:M67)</f>
        <v>18142.296744213883</v>
      </c>
      <c r="O67" s="78" t="s">
        <v>56</v>
      </c>
    </row>
    <row r="68" spans="1:15" ht="18" hidden="1" customHeight="1" thickBot="1" x14ac:dyDescent="0.25">
      <c r="A68" s="58" t="s">
        <v>20</v>
      </c>
      <c r="C68" s="71">
        <f>C$8*1.015^(C$2-2020)</f>
        <v>0</v>
      </c>
      <c r="D68" s="71">
        <f t="shared" ref="D68:L68" si="35">D$8*1.015^(D$2-2020)</f>
        <v>345.84653249999991</v>
      </c>
      <c r="E68" s="71">
        <f>E$8*1.015^(E$2-2020)</f>
        <v>0</v>
      </c>
      <c r="F68" s="71">
        <f>F$8*1.015^(F$2-2020)</f>
        <v>0</v>
      </c>
      <c r="G68" s="71">
        <f>G$8*1.015^(G$2-2020)</f>
        <v>54.295113795772473</v>
      </c>
      <c r="H68" s="71">
        <v>0</v>
      </c>
      <c r="I68" s="71">
        <f t="shared" si="35"/>
        <v>372.57493726112722</v>
      </c>
      <c r="J68" s="71">
        <f t="shared" si="35"/>
        <v>0</v>
      </c>
      <c r="K68" s="71">
        <f t="shared" si="35"/>
        <v>383.8360147398447</v>
      </c>
      <c r="L68" s="71">
        <f t="shared" si="35"/>
        <v>0</v>
      </c>
      <c r="M68" s="71">
        <f t="shared" si="34"/>
        <v>1156.5525982967442</v>
      </c>
    </row>
    <row r="69" spans="1:15" ht="35" hidden="1" customHeight="1" thickBot="1" x14ac:dyDescent="0.25">
      <c r="A69" s="58" t="s">
        <v>39</v>
      </c>
      <c r="C69" s="71">
        <f>C$9*1.015^(C$2-2020)</f>
        <v>340.71519999999992</v>
      </c>
      <c r="D69" s="71">
        <f t="shared" ref="D69:L69" si="36">D$9*1.015^(D$2-2020)</f>
        <v>0</v>
      </c>
      <c r="E69" s="71">
        <f t="shared" si="36"/>
        <v>438.76664614999987</v>
      </c>
      <c r="F69" s="71">
        <f t="shared" si="36"/>
        <v>0</v>
      </c>
      <c r="G69" s="71">
        <f t="shared" si="36"/>
        <v>0</v>
      </c>
      <c r="H69" s="71">
        <v>0</v>
      </c>
      <c r="I69" s="71">
        <f t="shared" si="36"/>
        <v>0</v>
      </c>
      <c r="J69" s="71">
        <f t="shared" si="36"/>
        <v>0</v>
      </c>
      <c r="K69" s="71">
        <f t="shared" si="36"/>
        <v>0</v>
      </c>
      <c r="L69" s="71">
        <f t="shared" si="36"/>
        <v>0</v>
      </c>
      <c r="M69" s="71">
        <f t="shared" si="34"/>
        <v>779.4818461499998</v>
      </c>
    </row>
    <row r="70" spans="1:15" ht="18" hidden="1" customHeight="1" thickBot="1" x14ac:dyDescent="0.25">
      <c r="A70" s="56" t="s">
        <v>40</v>
      </c>
      <c r="C70" s="71">
        <f>C$10*1.015^(C$2-2019)</f>
        <v>0</v>
      </c>
      <c r="D70" s="71">
        <f t="shared" ref="D70:L70" si="37">D$10*1.015^(D$2-2019)</f>
        <v>0</v>
      </c>
      <c r="E70" s="71">
        <f>E$10*1.015^(D$2-2019)</f>
        <v>104.56783749999997</v>
      </c>
      <c r="F70" s="71">
        <f t="shared" si="37"/>
        <v>0</v>
      </c>
      <c r="G70" s="71">
        <f t="shared" si="37"/>
        <v>0</v>
      </c>
      <c r="H70" s="71">
        <f t="shared" si="37"/>
        <v>0</v>
      </c>
      <c r="I70" s="71">
        <f t="shared" si="37"/>
        <v>0</v>
      </c>
      <c r="J70" s="71">
        <f t="shared" si="37"/>
        <v>0</v>
      </c>
      <c r="K70" s="71">
        <f t="shared" si="37"/>
        <v>0</v>
      </c>
      <c r="L70" s="71">
        <f t="shared" si="37"/>
        <v>0</v>
      </c>
      <c r="M70" s="71">
        <f t="shared" si="34"/>
        <v>104.56783749999997</v>
      </c>
    </row>
    <row r="71" spans="1:15" ht="18" hidden="1" customHeight="1" thickBot="1" x14ac:dyDescent="0.25">
      <c r="A71" s="56" t="s">
        <v>41</v>
      </c>
      <c r="C71" s="71">
        <f>C$11*1.015^(C$2-2019)</f>
        <v>0</v>
      </c>
      <c r="D71" s="71">
        <f t="shared" ref="D71:L71" si="38">D$11*1.015^(D$2-2019)</f>
        <v>157.89743462499993</v>
      </c>
      <c r="E71" s="71">
        <f t="shared" si="38"/>
        <v>0</v>
      </c>
      <c r="F71" s="71">
        <f t="shared" si="38"/>
        <v>284.4029770254748</v>
      </c>
      <c r="G71" s="71">
        <f t="shared" si="38"/>
        <v>52.485276669246701</v>
      </c>
      <c r="H71" s="71">
        <f t="shared" si="38"/>
        <v>53.272555819285401</v>
      </c>
      <c r="I71" s="71">
        <f t="shared" si="38"/>
        <v>150.95000660377096</v>
      </c>
      <c r="J71" s="71">
        <f t="shared" si="38"/>
        <v>48.022378966557874</v>
      </c>
      <c r="K71" s="71">
        <f t="shared" si="38"/>
        <v>55.705959601207127</v>
      </c>
      <c r="L71" s="71">
        <f t="shared" si="38"/>
        <v>113.08309799045045</v>
      </c>
      <c r="M71" s="71">
        <f t="shared" si="34"/>
        <v>915.81968730099322</v>
      </c>
    </row>
    <row r="72" spans="1:15" ht="18" hidden="1" customHeight="1" thickBot="1" x14ac:dyDescent="0.25">
      <c r="A72" s="56" t="s">
        <v>42</v>
      </c>
      <c r="C72" s="71">
        <f>C$12*1.015^(C$2-2019)</f>
        <v>0</v>
      </c>
      <c r="D72" s="71">
        <f t="shared" ref="D72:L72" si="39">D$12*1.015^(D$2-2019)</f>
        <v>117.63881718749995</v>
      </c>
      <c r="E72" s="71">
        <f t="shared" si="39"/>
        <v>0</v>
      </c>
      <c r="F72" s="71">
        <f t="shared" si="39"/>
        <v>0</v>
      </c>
      <c r="G72" s="71">
        <f t="shared" si="39"/>
        <v>0</v>
      </c>
      <c r="H72" s="71">
        <f t="shared" si="39"/>
        <v>124.85755270145015</v>
      </c>
      <c r="I72" s="71">
        <f t="shared" si="39"/>
        <v>0</v>
      </c>
      <c r="J72" s="71">
        <f t="shared" si="39"/>
        <v>0</v>
      </c>
      <c r="K72" s="71">
        <f t="shared" si="39"/>
        <v>0</v>
      </c>
      <c r="L72" s="71">
        <f t="shared" si="39"/>
        <v>0</v>
      </c>
      <c r="M72" s="71">
        <f t="shared" si="34"/>
        <v>242.49636988895008</v>
      </c>
    </row>
    <row r="73" spans="1:15" ht="18" hidden="1" customHeight="1" thickBot="1" x14ac:dyDescent="0.25">
      <c r="A73" s="56" t="s">
        <v>43</v>
      </c>
      <c r="C73" s="71">
        <f>C$13*1.015^(C$2-2019)</f>
        <v>0</v>
      </c>
      <c r="D73" s="71">
        <f t="shared" ref="D73:L73" si="40">D$13*1.015^(D$2-2019)</f>
        <v>10.456783749999996</v>
      </c>
      <c r="E73" s="71">
        <f t="shared" si="40"/>
        <v>0</v>
      </c>
      <c r="F73" s="71">
        <f t="shared" si="40"/>
        <v>0</v>
      </c>
      <c r="G73" s="71">
        <f t="shared" si="40"/>
        <v>0</v>
      </c>
      <c r="H73" s="71">
        <f t="shared" si="40"/>
        <v>11.098449129017791</v>
      </c>
      <c r="I73" s="71">
        <f t="shared" si="40"/>
        <v>0</v>
      </c>
      <c r="J73" s="71">
        <f t="shared" si="40"/>
        <v>0</v>
      </c>
      <c r="K73" s="71">
        <f t="shared" si="40"/>
        <v>0</v>
      </c>
      <c r="L73" s="71">
        <f t="shared" si="40"/>
        <v>11.779489374005257</v>
      </c>
      <c r="M73" s="71">
        <f t="shared" si="34"/>
        <v>33.334722253023045</v>
      </c>
    </row>
    <row r="74" spans="1:15" ht="18" hidden="1" customHeight="1" thickBot="1" x14ac:dyDescent="0.25">
      <c r="A74" s="56" t="s">
        <v>15</v>
      </c>
      <c r="C74" s="71">
        <f>C$14*1.015^(C$2-2019)</f>
        <v>461.02568749999989</v>
      </c>
      <c r="D74" s="71">
        <f t="shared" ref="D74:L74" si="41">D$14*1.015^(D$2-2019)</f>
        <v>0</v>
      </c>
      <c r="E74" s="71">
        <f t="shared" si="41"/>
        <v>0</v>
      </c>
      <c r="F74" s="71">
        <f t="shared" si="41"/>
        <v>266.62779096138263</v>
      </c>
      <c r="G74" s="71">
        <f t="shared" si="41"/>
        <v>0</v>
      </c>
      <c r="H74" s="71">
        <f t="shared" si="41"/>
        <v>0</v>
      </c>
      <c r="I74" s="71">
        <f t="shared" si="41"/>
        <v>0</v>
      </c>
      <c r="J74" s="71">
        <f t="shared" si="41"/>
        <v>0</v>
      </c>
      <c r="K74" s="71">
        <f t="shared" si="41"/>
        <v>0</v>
      </c>
      <c r="L74" s="71">
        <f t="shared" si="41"/>
        <v>0</v>
      </c>
      <c r="M74" s="71">
        <f>SUM(C74:L74)</f>
        <v>727.65347846138252</v>
      </c>
    </row>
    <row r="75" spans="1:15" ht="18" hidden="1" customHeight="1" thickBot="1" x14ac:dyDescent="0.25">
      <c r="A75" s="56" t="s">
        <v>16</v>
      </c>
      <c r="C75" s="71">
        <f>C$15*1.015^(C$2-2019)</f>
        <v>169.78107999999997</v>
      </c>
      <c r="D75" s="71">
        <f t="shared" ref="D75:L75" si="42">D$15*1.015^(D$2-2019)</f>
        <v>0</v>
      </c>
      <c r="E75" s="71">
        <f t="shared" si="42"/>
        <v>0</v>
      </c>
      <c r="F75" s="71">
        <f t="shared" si="42"/>
        <v>96.309189947263064</v>
      </c>
      <c r="G75" s="71">
        <f t="shared" si="42"/>
        <v>10.934432639426397</v>
      </c>
      <c r="H75" s="71">
        <f t="shared" si="42"/>
        <v>11.098449129017791</v>
      </c>
      <c r="I75" s="71">
        <f t="shared" si="42"/>
        <v>16.897388798929587</v>
      </c>
      <c r="J75" s="71">
        <f t="shared" si="42"/>
        <v>17.150849630913527</v>
      </c>
      <c r="K75" s="71">
        <f t="shared" si="42"/>
        <v>17.408112375377229</v>
      </c>
      <c r="L75" s="71">
        <f t="shared" si="42"/>
        <v>0</v>
      </c>
      <c r="M75" s="71">
        <f t="shared" si="34"/>
        <v>339.57950252092758</v>
      </c>
    </row>
    <row r="76" spans="1:15" ht="18" hidden="1" customHeight="1" thickBot="1" x14ac:dyDescent="0.25">
      <c r="A76" s="56" t="s">
        <v>17</v>
      </c>
      <c r="C76" s="71">
        <f t="shared" ref="C76:L76" si="43">SUM(C66:C75)</f>
        <v>2423.0488799999994</v>
      </c>
      <c r="D76" s="71">
        <f t="shared" si="43"/>
        <v>2244.9179679999997</v>
      </c>
      <c r="E76" s="71">
        <f t="shared" si="43"/>
        <v>2301.2547436182026</v>
      </c>
      <c r="F76" s="71">
        <f t="shared" si="43"/>
        <v>2337.4194450797313</v>
      </c>
      <c r="G76" s="71">
        <f t="shared" si="43"/>
        <v>1847.6924318802091</v>
      </c>
      <c r="H76" s="71">
        <f t="shared" si="43"/>
        <v>2082.843026602955</v>
      </c>
      <c r="I76" s="71">
        <f t="shared" si="43"/>
        <v>2322.1886704826079</v>
      </c>
      <c r="J76" s="71">
        <f t="shared" si="43"/>
        <v>2096.1504126661184</v>
      </c>
      <c r="K76" s="71">
        <f t="shared" si="43"/>
        <v>2535.0528571278155</v>
      </c>
      <c r="L76" s="71">
        <f t="shared" si="43"/>
        <v>2251.2143511282648</v>
      </c>
      <c r="M76" s="81">
        <f>SUM(C76:L76)</f>
        <v>22441.782786585907</v>
      </c>
    </row>
    <row r="77" spans="1:15" ht="16" hidden="1" customHeight="1" x14ac:dyDescent="0.2"/>
    <row r="78" spans="1:15" ht="16" hidden="1" customHeight="1" x14ac:dyDescent="0.2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5" ht="16" hidden="1" customHeight="1" x14ac:dyDescent="0.2">
      <c r="C79" s="29" t="s">
        <v>14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5" ht="16" hidden="1" customHeight="1" x14ac:dyDescent="0.2"/>
    <row r="81" spans="1:15" ht="16" hidden="1" customHeight="1" x14ac:dyDescent="0.2"/>
    <row r="82" spans="1:15" ht="17" thickBot="1" x14ac:dyDescent="0.25"/>
    <row r="83" spans="1:15" ht="17" thickBot="1" x14ac:dyDescent="0.25">
      <c r="C83" s="40">
        <f t="shared" ref="C83:G83" si="44">C$2</f>
        <v>2021</v>
      </c>
      <c r="D83" s="40">
        <f t="shared" si="44"/>
        <v>2022</v>
      </c>
      <c r="E83" s="40">
        <f t="shared" si="44"/>
        <v>2023</v>
      </c>
      <c r="F83" s="40">
        <f t="shared" si="44"/>
        <v>2024</v>
      </c>
      <c r="G83" s="100">
        <f t="shared" si="44"/>
        <v>2025</v>
      </c>
      <c r="H83" s="228" t="s">
        <v>117</v>
      </c>
    </row>
    <row r="84" spans="1:15" x14ac:dyDescent="0.2">
      <c r="A84" s="229" t="s">
        <v>121</v>
      </c>
      <c r="B84" s="230"/>
      <c r="C84" s="230"/>
      <c r="D84" s="43">
        <v>5</v>
      </c>
      <c r="E84" s="43">
        <v>4</v>
      </c>
      <c r="F84" s="43">
        <v>3</v>
      </c>
      <c r="G84" s="43">
        <v>3</v>
      </c>
      <c r="H84" s="231">
        <f>SUM(D84:G84)</f>
        <v>15</v>
      </c>
      <c r="J84" t="s">
        <v>125</v>
      </c>
      <c r="K84" t="s">
        <v>126</v>
      </c>
      <c r="L84" t="s">
        <v>78</v>
      </c>
      <c r="M84" t="s">
        <v>127</v>
      </c>
      <c r="N84" t="s">
        <v>123</v>
      </c>
      <c r="O84" t="s">
        <v>124</v>
      </c>
    </row>
    <row r="85" spans="1:15" ht="18" customHeight="1" x14ac:dyDescent="0.2">
      <c r="A85" s="232" t="s">
        <v>120</v>
      </c>
      <c r="B85" s="64"/>
      <c r="C85" s="64"/>
      <c r="D85" s="53">
        <f>D84*206.5*1.015^(D$83-2020)*(1-(D84-1)*0.03) + D84*1.6*1.015^(D$83-2020)</f>
        <v>944.30423499999972</v>
      </c>
      <c r="E85" s="53">
        <f t="shared" ref="E85:G85" si="45">E84*206.5*1.015^(E$83-2020)*(1-(E84-1)*0.03) + E84*1.6*1.015^(E$83-2020)</f>
        <v>792.68694895249962</v>
      </c>
      <c r="F85" s="53">
        <f t="shared" si="45"/>
        <v>623.15838147845591</v>
      </c>
      <c r="G85" s="53">
        <f t="shared" si="45"/>
        <v>632.5057572006325</v>
      </c>
      <c r="H85" s="233">
        <f>SUM(D85:G85)</f>
        <v>2992.6553226315878</v>
      </c>
      <c r="J85" s="254">
        <v>206.5</v>
      </c>
      <c r="K85" s="254">
        <v>1.6</v>
      </c>
      <c r="L85" s="254">
        <f>J85+K85</f>
        <v>208.1</v>
      </c>
      <c r="M85" s="253">
        <v>1.0149999999999999</v>
      </c>
    </row>
    <row r="86" spans="1:15" ht="17" thickBot="1" x14ac:dyDescent="0.25">
      <c r="A86" s="234" t="s">
        <v>118</v>
      </c>
      <c r="B86" s="235"/>
      <c r="C86" s="285"/>
      <c r="D86" s="284">
        <f>D85/D84</f>
        <v>188.86084699999995</v>
      </c>
      <c r="E86" s="246">
        <f t="shared" ref="E86:G86" si="46">E85/E84</f>
        <v>198.1717372381249</v>
      </c>
      <c r="F86" s="246">
        <f t="shared" si="46"/>
        <v>207.71946049281863</v>
      </c>
      <c r="G86" s="246">
        <f t="shared" si="46"/>
        <v>210.83525240021083</v>
      </c>
      <c r="H86" s="247">
        <f>H85/H84</f>
        <v>199.51035484210584</v>
      </c>
    </row>
    <row r="87" spans="1:15" x14ac:dyDescent="0.2">
      <c r="A87" s="255" t="s">
        <v>122</v>
      </c>
      <c r="B87" s="256"/>
      <c r="C87" s="256"/>
      <c r="D87" s="257">
        <v>1</v>
      </c>
      <c r="E87" s="257"/>
      <c r="F87" s="257"/>
      <c r="G87" s="257"/>
      <c r="H87" s="258">
        <f t="shared" ref="H87" si="47">SUM(D87:G87)</f>
        <v>1</v>
      </c>
    </row>
    <row r="88" spans="1:15" x14ac:dyDescent="0.2">
      <c r="A88" s="259" t="s">
        <v>119</v>
      </c>
      <c r="B88" s="260"/>
      <c r="C88" s="260"/>
      <c r="D88" s="261">
        <f>D84+D87</f>
        <v>6</v>
      </c>
      <c r="E88" s="261">
        <f t="shared" ref="E88:G88" si="48">E84+E87</f>
        <v>4</v>
      </c>
      <c r="F88" s="261">
        <f t="shared" si="48"/>
        <v>3</v>
      </c>
      <c r="G88" s="261">
        <f t="shared" si="48"/>
        <v>3</v>
      </c>
      <c r="H88" s="271">
        <f>$H$84+H87</f>
        <v>16</v>
      </c>
    </row>
    <row r="89" spans="1:15" x14ac:dyDescent="0.2">
      <c r="A89" s="259" t="s">
        <v>120</v>
      </c>
      <c r="B89" s="260"/>
      <c r="C89" s="260"/>
      <c r="D89" s="272">
        <f>D88*206.5*1.015^(D$83-2020)*(1-(D88-1)*0.03) + D88*1.6*1.015^(D$83-2020)</f>
        <v>1094.8716187499995</v>
      </c>
      <c r="E89" s="272">
        <f t="shared" ref="E89:G89" si="49">E88*206.5*1.015^(E83-2020)*(1-(E88-1)*0.03) + E88*1.6*1.015^(E83-2020)</f>
        <v>792.68694895249962</v>
      </c>
      <c r="F89" s="272">
        <f t="shared" si="49"/>
        <v>623.15838147845591</v>
      </c>
      <c r="G89" s="272">
        <f t="shared" si="49"/>
        <v>632.5057572006325</v>
      </c>
      <c r="H89" s="273">
        <f>SUM(D89:G89)</f>
        <v>3143.2227063815876</v>
      </c>
      <c r="J89" t="s">
        <v>14</v>
      </c>
    </row>
    <row r="90" spans="1:15" s="279" customFormat="1" ht="17" thickBot="1" x14ac:dyDescent="0.25">
      <c r="A90" s="280" t="s">
        <v>118</v>
      </c>
      <c r="B90" s="281"/>
      <c r="C90" s="281"/>
      <c r="D90" s="282">
        <f>D89/D88</f>
        <v>182.47860312499992</v>
      </c>
      <c r="E90" s="282">
        <f t="shared" ref="E90:G90" si="50">E89/E88</f>
        <v>198.1717372381249</v>
      </c>
      <c r="F90" s="282">
        <f t="shared" si="50"/>
        <v>207.71946049281863</v>
      </c>
      <c r="G90" s="282">
        <f t="shared" si="50"/>
        <v>210.83525240021083</v>
      </c>
      <c r="H90" s="283">
        <f>H89/H88</f>
        <v>196.45141914884923</v>
      </c>
      <c r="J90" s="279" t="s">
        <v>14</v>
      </c>
    </row>
    <row r="91" spans="1:15" x14ac:dyDescent="0.2">
      <c r="A91" s="229" t="s">
        <v>122</v>
      </c>
      <c r="B91" s="230"/>
      <c r="C91" s="230"/>
      <c r="D91" s="43"/>
      <c r="E91" s="43">
        <v>1</v>
      </c>
      <c r="F91" s="43"/>
      <c r="G91" s="43"/>
      <c r="H91" s="231">
        <f t="shared" ref="H91" si="51">SUM(D91:G91)</f>
        <v>1</v>
      </c>
      <c r="K91" t="s">
        <v>14</v>
      </c>
    </row>
    <row r="92" spans="1:15" x14ac:dyDescent="0.2">
      <c r="A92" s="232" t="s">
        <v>119</v>
      </c>
      <c r="B92" s="64"/>
      <c r="C92" s="64"/>
      <c r="D92" s="227">
        <f>D84+D91</f>
        <v>5</v>
      </c>
      <c r="E92" s="227">
        <f t="shared" ref="E92" si="52">E88+E91</f>
        <v>5</v>
      </c>
      <c r="F92" s="227">
        <f t="shared" ref="F92" si="53">F88+F91</f>
        <v>3</v>
      </c>
      <c r="G92" s="227">
        <f t="shared" ref="G92" si="54">G88+G91</f>
        <v>3</v>
      </c>
      <c r="H92" s="236">
        <f>$H$84+H91</f>
        <v>16</v>
      </c>
      <c r="J92" t="s">
        <v>14</v>
      </c>
    </row>
    <row r="93" spans="1:15" x14ac:dyDescent="0.2">
      <c r="A93" s="232" t="s">
        <v>120</v>
      </c>
      <c r="B93" s="64"/>
      <c r="C93" s="64"/>
      <c r="D93" s="53">
        <f>D92*206.5*1.015^(D$83-2020)*(1-(D92-1)*0.03) + D92*1.6*1.015^(D$83-2020)</f>
        <v>944.30423499999972</v>
      </c>
      <c r="E93" s="53">
        <f t="shared" ref="E93:F93" si="55">E92*206.5*1.015^(E$83-2020)*(1-(E92-1)*0.03) + E92*1.6*1.015^(E$83-2020)</f>
        <v>958.46879852499956</v>
      </c>
      <c r="F93" s="53">
        <f t="shared" si="55"/>
        <v>623.15838147845591</v>
      </c>
      <c r="G93" s="53">
        <f>G92*206.5*1.015^(G$83-2020)*(1-(G92-1)*0.03) + G92*1.6*1.015^(G$83-2020)</f>
        <v>632.5057572006325</v>
      </c>
      <c r="H93" s="233">
        <f>SUM(D93:G93)</f>
        <v>3158.4371722040878</v>
      </c>
    </row>
    <row r="94" spans="1:15" ht="17" thickBot="1" x14ac:dyDescent="0.25">
      <c r="A94" s="234" t="s">
        <v>118</v>
      </c>
      <c r="B94" s="235"/>
      <c r="C94" s="235"/>
      <c r="D94" s="246">
        <f>D93/D92</f>
        <v>188.86084699999995</v>
      </c>
      <c r="E94" s="246">
        <f t="shared" ref="E94:G94" si="56">E93/E92</f>
        <v>191.69375970499991</v>
      </c>
      <c r="F94" s="246">
        <f t="shared" si="56"/>
        <v>207.71946049281863</v>
      </c>
      <c r="G94" s="246">
        <f t="shared" si="56"/>
        <v>210.83525240021083</v>
      </c>
      <c r="H94" s="248">
        <f>H93/H92</f>
        <v>197.40232326275549</v>
      </c>
    </row>
    <row r="95" spans="1:15" x14ac:dyDescent="0.2">
      <c r="D95" s="227"/>
      <c r="E95" s="227"/>
      <c r="F95" s="227" t="s">
        <v>14</v>
      </c>
      <c r="G95" s="227"/>
      <c r="H95" s="226"/>
      <c r="J95" t="s">
        <v>14</v>
      </c>
    </row>
    <row r="96" spans="1:15" ht="17" thickBot="1" x14ac:dyDescent="0.25">
      <c r="D96" s="244"/>
      <c r="E96" s="244"/>
      <c r="F96" s="244"/>
      <c r="G96" s="244"/>
      <c r="H96" s="245"/>
    </row>
    <row r="97" spans="1:14" x14ac:dyDescent="0.2">
      <c r="A97" s="229" t="s">
        <v>21</v>
      </c>
      <c r="B97" s="230"/>
      <c r="C97" s="43">
        <f>Summary!C60-Summary!C59</f>
        <v>2</v>
      </c>
      <c r="D97" s="43">
        <f>Summary!D60</f>
        <v>0</v>
      </c>
      <c r="E97" s="43">
        <f>Summary!E60</f>
        <v>1</v>
      </c>
      <c r="F97" s="43">
        <f>Summary!F60</f>
        <v>0</v>
      </c>
      <c r="G97" s="43">
        <f>Summary!G60</f>
        <v>3</v>
      </c>
      <c r="H97" s="231">
        <f>SUM(C97:G97)</f>
        <v>6</v>
      </c>
      <c r="J97" t="s">
        <v>128</v>
      </c>
      <c r="L97" t="s">
        <v>127</v>
      </c>
      <c r="M97" t="s">
        <v>123</v>
      </c>
      <c r="N97" t="s">
        <v>124</v>
      </c>
    </row>
    <row r="98" spans="1:14" x14ac:dyDescent="0.2">
      <c r="A98" s="232" t="s">
        <v>120</v>
      </c>
      <c r="B98" s="64"/>
      <c r="C98" s="53">
        <f>C97*115*1.015^(C$83-2019)*(1-(0.025*C97))</f>
        <v>225.10416249999994</v>
      </c>
      <c r="D98" s="53">
        <f t="shared" ref="D98:G98" si="57">D97*115*1.015^(D$83-2019)*(1-(0.025*D97))</f>
        <v>0</v>
      </c>
      <c r="E98" s="53">
        <f t="shared" si="57"/>
        <v>119.00538811382806</v>
      </c>
      <c r="F98" s="53">
        <f t="shared" si="57"/>
        <v>0</v>
      </c>
      <c r="G98" s="83">
        <f t="shared" si="57"/>
        <v>348.9450816056949</v>
      </c>
      <c r="H98" s="249">
        <f>SUM(C98:G98)</f>
        <v>693.05463221952289</v>
      </c>
      <c r="J98" s="254">
        <v>115</v>
      </c>
      <c r="K98" s="252"/>
      <c r="L98" s="253">
        <v>1.0149999999999999</v>
      </c>
    </row>
    <row r="99" spans="1:14" ht="17" thickBot="1" x14ac:dyDescent="0.25">
      <c r="A99" s="234" t="s">
        <v>118</v>
      </c>
      <c r="B99" s="235"/>
      <c r="C99" s="284">
        <f>C98/C97</f>
        <v>112.55208124999997</v>
      </c>
      <c r="D99" s="284" t="e">
        <f>D98/D97</f>
        <v>#DIV/0!</v>
      </c>
      <c r="E99" s="246">
        <f t="shared" ref="E99" si="58">E98/E97</f>
        <v>119.00538811382806</v>
      </c>
      <c r="F99" s="246" t="e">
        <f t="shared" ref="F99" si="59">F98/F97</f>
        <v>#DIV/0!</v>
      </c>
      <c r="G99" s="246">
        <f t="shared" ref="G99" si="60">G98/G97</f>
        <v>116.3150272018983</v>
      </c>
      <c r="H99" s="251">
        <f>H98/H97</f>
        <v>115.50910536992048</v>
      </c>
    </row>
    <row r="100" spans="1:14" x14ac:dyDescent="0.2">
      <c r="A100" s="237" t="s">
        <v>122</v>
      </c>
      <c r="B100" s="238"/>
      <c r="C100" s="43"/>
      <c r="D100" s="43">
        <v>1</v>
      </c>
      <c r="E100" s="43"/>
      <c r="F100" s="43"/>
      <c r="G100" s="43"/>
      <c r="H100" s="239">
        <f>SUM(D100:G100)</f>
        <v>1</v>
      </c>
    </row>
    <row r="101" spans="1:14" x14ac:dyDescent="0.2">
      <c r="A101" s="240" t="s">
        <v>119</v>
      </c>
      <c r="B101" s="241"/>
      <c r="C101" s="227">
        <f>C97+C100</f>
        <v>2</v>
      </c>
      <c r="D101" s="227">
        <f>D97+D100</f>
        <v>1</v>
      </c>
      <c r="E101" s="227">
        <f t="shared" ref="E101" si="61">E97+E100</f>
        <v>1</v>
      </c>
      <c r="F101" s="227">
        <f t="shared" ref="F101" si="62">F97+F100</f>
        <v>0</v>
      </c>
      <c r="G101" s="227">
        <f t="shared" ref="G101" si="63">G97+G100</f>
        <v>3</v>
      </c>
      <c r="H101" s="49">
        <f>$H$97+H100</f>
        <v>7</v>
      </c>
    </row>
    <row r="102" spans="1:14" x14ac:dyDescent="0.2">
      <c r="A102" s="240" t="s">
        <v>120</v>
      </c>
      <c r="B102" s="241"/>
      <c r="C102" s="53">
        <f>C101*115*1.015^(C$83-2019)*(1-(0.025*C101))</f>
        <v>225.10416249999994</v>
      </c>
      <c r="D102" s="53">
        <f t="shared" ref="D102" si="64">D101*115*1.015^(D$83-2019)*(1-(0.025*D101))</f>
        <v>117.24668779687495</v>
      </c>
      <c r="E102" s="53">
        <f t="shared" ref="E102" si="65">E101*115*1.015^(E$83-2019)*(1-(0.025*E101))</f>
        <v>119.00538811382806</v>
      </c>
      <c r="F102" s="53">
        <f t="shared" ref="F102" si="66">F101*115*1.015^(F$83-2019)*(1-(0.025*F101))</f>
        <v>0</v>
      </c>
      <c r="G102" s="83">
        <f t="shared" ref="G102" si="67">G101*115*1.015^(G$83-2019)*(1-(0.025*G101))</f>
        <v>348.9450816056949</v>
      </c>
      <c r="H102" s="249">
        <f>SUM(C102:G102)</f>
        <v>810.30132001639788</v>
      </c>
    </row>
    <row r="103" spans="1:14" ht="17" thickBot="1" x14ac:dyDescent="0.25">
      <c r="A103" s="242" t="s">
        <v>118</v>
      </c>
      <c r="B103" s="243"/>
      <c r="C103" s="246">
        <f>C102/C101</f>
        <v>112.55208124999997</v>
      </c>
      <c r="D103" s="246">
        <f>D102/D101</f>
        <v>117.24668779687495</v>
      </c>
      <c r="E103" s="246">
        <f t="shared" ref="E103" si="68">E102/E101</f>
        <v>119.00538811382806</v>
      </c>
      <c r="F103" s="246" t="e">
        <f t="shared" ref="F103" si="69">F102/F101</f>
        <v>#DIV/0!</v>
      </c>
      <c r="G103" s="246">
        <f t="shared" ref="G103" si="70">G102/G101</f>
        <v>116.3150272018983</v>
      </c>
      <c r="H103" s="250">
        <f>H102/8</f>
        <v>101.28766500204974</v>
      </c>
    </row>
    <row r="104" spans="1:14" x14ac:dyDescent="0.2">
      <c r="A104" s="262" t="s">
        <v>122</v>
      </c>
      <c r="B104" s="263"/>
      <c r="C104" s="264"/>
      <c r="D104" s="264"/>
      <c r="E104" s="264">
        <v>1</v>
      </c>
      <c r="F104" s="264"/>
      <c r="G104" s="264"/>
      <c r="H104" s="265">
        <f t="shared" ref="H104" si="71">SUM(D104:G104)</f>
        <v>1</v>
      </c>
    </row>
    <row r="105" spans="1:14" x14ac:dyDescent="0.2">
      <c r="A105" s="266" t="s">
        <v>119</v>
      </c>
      <c r="B105" s="267"/>
      <c r="C105" s="268">
        <f>C97+C104</f>
        <v>2</v>
      </c>
      <c r="D105" s="268">
        <f>D97+D104</f>
        <v>0</v>
      </c>
      <c r="E105" s="268">
        <f t="shared" ref="E105" si="72">E101+E104</f>
        <v>2</v>
      </c>
      <c r="F105" s="268">
        <f t="shared" ref="F105" si="73">F101+F104</f>
        <v>0</v>
      </c>
      <c r="G105" s="268">
        <f t="shared" ref="G105" si="74">G101+G104</f>
        <v>3</v>
      </c>
      <c r="H105" s="269">
        <f>$H$97+H104</f>
        <v>7</v>
      </c>
      <c r="J105" t="s">
        <v>14</v>
      </c>
    </row>
    <row r="106" spans="1:14" x14ac:dyDescent="0.2">
      <c r="A106" s="266" t="s">
        <v>120</v>
      </c>
      <c r="B106" s="267"/>
      <c r="C106" s="274">
        <f>C105*115*1.015^(C$83-2019)*(1-(0.025*C105))</f>
        <v>225.10416249999994</v>
      </c>
      <c r="D106" s="274">
        <f t="shared" ref="D106" si="75">D105*115*1.015^(D$83-2019)*(1-(0.025*D105))</f>
        <v>0</v>
      </c>
      <c r="E106" s="274">
        <f t="shared" ref="E106" si="76">E105*115*1.015^(E$83-2019)*(1-(0.025*E105))</f>
        <v>231.90793581156237</v>
      </c>
      <c r="F106" s="274">
        <f t="shared" ref="F106" si="77">F105*115*1.015^(F$83-2019)*(1-(0.025*F105))</f>
        <v>0</v>
      </c>
      <c r="G106" s="274">
        <f t="shared" ref="G106" si="78">G105*115*1.015^(G$83-2019)*(1-(0.025*G105))</f>
        <v>348.9450816056949</v>
      </c>
      <c r="H106" s="270">
        <f>SUM(C106:G106)</f>
        <v>805.95717991725724</v>
      </c>
    </row>
    <row r="107" spans="1:14" s="279" customFormat="1" ht="17" thickBot="1" x14ac:dyDescent="0.25">
      <c r="A107" s="275" t="s">
        <v>118</v>
      </c>
      <c r="B107" s="276"/>
      <c r="C107" s="277">
        <f>C106/C105</f>
        <v>112.55208124999997</v>
      </c>
      <c r="D107" s="277" t="e">
        <f>D106/D105</f>
        <v>#DIV/0!</v>
      </c>
      <c r="E107" s="277">
        <f t="shared" ref="E107" si="79">E106/E105</f>
        <v>115.95396790578118</v>
      </c>
      <c r="F107" s="277" t="e">
        <f t="shared" ref="F107" si="80">F106/F105</f>
        <v>#DIV/0!</v>
      </c>
      <c r="G107" s="277">
        <f t="shared" ref="G107" si="81">G106/G105</f>
        <v>116.3150272018983</v>
      </c>
      <c r="H107" s="278">
        <f>H106/H105</f>
        <v>115.1367399881796</v>
      </c>
    </row>
  </sheetData>
  <mergeCells count="6">
    <mergeCell ref="O44:O45"/>
    <mergeCell ref="M62:M63"/>
    <mergeCell ref="M2:M3"/>
    <mergeCell ref="M22:M23"/>
    <mergeCell ref="M40:M41"/>
    <mergeCell ref="N44:N4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C624-495D-1846-B1C5-6221959B68A2}">
  <dimension ref="A1:Q23"/>
  <sheetViews>
    <sheetView workbookViewId="0">
      <selection activeCell="D28" sqref="D28"/>
    </sheetView>
  </sheetViews>
  <sheetFormatPr baseColWidth="10" defaultRowHeight="16" x14ac:dyDescent="0.2"/>
  <cols>
    <col min="1" max="1" width="12.5" style="25" customWidth="1"/>
    <col min="2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109</v>
      </c>
      <c r="B1" s="36">
        <v>2.5399999999999999E-2</v>
      </c>
      <c r="C1" s="132">
        <v>2.86E-2</v>
      </c>
      <c r="D1" s="219">
        <f>(B1+C1)/2</f>
        <v>2.7E-2</v>
      </c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x14ac:dyDescent="0.2">
      <c r="A3" s="13" t="s">
        <v>0</v>
      </c>
      <c r="B3" s="37" t="s">
        <v>28</v>
      </c>
      <c r="C3" s="37" t="str">
        <f>A1</f>
        <v>BULGARIA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44" t="s">
        <v>12</v>
      </c>
    </row>
    <row r="4" spans="1:17" s="3" customFormat="1" ht="17" x14ac:dyDescent="0.2">
      <c r="A4" s="14"/>
      <c r="B4" s="14"/>
      <c r="C4" s="120">
        <f>B1</f>
        <v>2.5399999999999999E-2</v>
      </c>
      <c r="D4" s="14"/>
      <c r="E4" s="15"/>
      <c r="F4" s="16"/>
      <c r="G4" s="144" t="s">
        <v>10</v>
      </c>
      <c r="H4" s="144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8" thickTop="1" thickBot="1" x14ac:dyDescent="0.25">
      <c r="A6" s="113">
        <v>2021</v>
      </c>
      <c r="B6" s="113">
        <v>2411.1</v>
      </c>
      <c r="C6" s="114">
        <f>B6*$C$4</f>
        <v>61.241939999999992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  <c r="P6" s="220"/>
      <c r="Q6" s="363"/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56.337199999999996</v>
      </c>
      <c r="D7" s="111"/>
      <c r="E7" s="112"/>
      <c r="F7" s="110"/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  <c r="P7" s="220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57.406539999999993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220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57.950099999999999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220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45.120559999999998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220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278.05633999999998</v>
      </c>
      <c r="D11" s="118">
        <f t="shared" ref="D11:O11" si="2">SUM(D6:D10)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0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64.956319999999991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63.717940000000006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56.356299999999997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68.37688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59.708219999999997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591.17199999999991</v>
      </c>
      <c r="D17" s="118">
        <f>SUM(D11:D16)</f>
        <v>0</v>
      </c>
      <c r="E17" s="118">
        <f t="shared" ref="E17:N17" si="4">SUM(E11:E16)</f>
        <v>0</v>
      </c>
      <c r="F17" s="118">
        <f>SUM(F11:F16)</f>
        <v>0</v>
      </c>
      <c r="G17" s="118">
        <f t="shared" si="4"/>
        <v>0</v>
      </c>
      <c r="H17" s="118">
        <f t="shared" si="4"/>
        <v>0</v>
      </c>
      <c r="I17" s="118">
        <f t="shared" si="4"/>
        <v>0</v>
      </c>
      <c r="J17" s="118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8">
        <f t="shared" si="4"/>
        <v>0</v>
      </c>
      <c r="O17" s="118">
        <f>SUM(O11:O16)</f>
        <v>0</v>
      </c>
    </row>
    <row r="18" spans="1:15" s="3" customFormat="1" ht="18" thickBot="1" x14ac:dyDescent="0.25">
      <c r="A18" s="5"/>
      <c r="B18" s="5"/>
      <c r="C18" s="5" t="s">
        <v>14</v>
      </c>
      <c r="D18" s="5"/>
      <c r="E18" s="364" t="s">
        <v>110</v>
      </c>
      <c r="F18" s="365"/>
      <c r="G18" s="366" t="s">
        <v>111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 t="e">
        <f>F17/O17</f>
        <v>#DIV/0!</v>
      </c>
      <c r="F19" s="373"/>
      <c r="G19" s="376" t="e">
        <f>H17/O17</f>
        <v>#DIV/0!</v>
      </c>
      <c r="H19" s="377"/>
      <c r="I19" s="142"/>
      <c r="J19" s="380" t="e">
        <f>(J17+L17)/O17</f>
        <v>#DIV/0!</v>
      </c>
      <c r="K19" s="381"/>
      <c r="L19" s="381"/>
      <c r="M19" s="381"/>
      <c r="N19" s="373"/>
      <c r="O19" s="384">
        <f>O17/C17</f>
        <v>0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 t="e">
        <f>SUM(E19+G19+J19)</f>
        <v>#DIV/0!</v>
      </c>
    </row>
    <row r="22" spans="1:15" x14ac:dyDescent="0.2">
      <c r="B22" s="128" t="s">
        <v>75</v>
      </c>
      <c r="C22" s="129">
        <f>26*(C17/B17)</f>
        <v>0.70200189995980855</v>
      </c>
      <c r="J22" s="1"/>
      <c r="K22" s="1"/>
      <c r="M22" s="1"/>
      <c r="N22" s="1"/>
      <c r="O22" s="1">
        <f>O17-C17</f>
        <v>-591.17199999999991</v>
      </c>
    </row>
    <row r="23" spans="1:15" x14ac:dyDescent="0.2">
      <c r="B23" s="128"/>
      <c r="C23" s="129" t="s">
        <v>112</v>
      </c>
      <c r="D23" s="2"/>
      <c r="F23" s="25" t="s">
        <v>14</v>
      </c>
      <c r="K23" s="25" t="s">
        <v>14</v>
      </c>
    </row>
  </sheetData>
  <mergeCells count="17">
    <mergeCell ref="Q6:Q7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48F63-D07F-ED49-9403-A0559D5DC110}">
  <dimension ref="A1:Q23"/>
  <sheetViews>
    <sheetView workbookViewId="0">
      <selection sqref="A1:XFD1048576"/>
    </sheetView>
  </sheetViews>
  <sheetFormatPr baseColWidth="10" defaultRowHeight="16" x14ac:dyDescent="0.2"/>
  <cols>
    <col min="1" max="1" width="12.5" style="25" customWidth="1"/>
    <col min="2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113</v>
      </c>
      <c r="B1" s="36">
        <v>2.5399999999999999E-2</v>
      </c>
      <c r="C1" s="132">
        <v>2.86E-2</v>
      </c>
      <c r="D1" s="219">
        <f>(B1+C1)/2</f>
        <v>2.7E-2</v>
      </c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x14ac:dyDescent="0.2">
      <c r="A3" s="13" t="s">
        <v>0</v>
      </c>
      <c r="B3" s="37" t="s">
        <v>28</v>
      </c>
      <c r="C3" s="37" t="str">
        <f>A1</f>
        <v>FINLAND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44" t="s">
        <v>12</v>
      </c>
    </row>
    <row r="4" spans="1:17" s="3" customFormat="1" ht="17" x14ac:dyDescent="0.2">
      <c r="A4" s="14"/>
      <c r="B4" s="14"/>
      <c r="C4" s="120">
        <f>B1</f>
        <v>2.5399999999999999E-2</v>
      </c>
      <c r="D4" s="14"/>
      <c r="E4" s="15"/>
      <c r="F4" s="16"/>
      <c r="G4" s="144" t="s">
        <v>10</v>
      </c>
      <c r="H4" s="144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8" thickTop="1" thickBot="1" x14ac:dyDescent="0.25">
      <c r="A6" s="113">
        <v>2021</v>
      </c>
      <c r="B6" s="113">
        <v>2411.1</v>
      </c>
      <c r="C6" s="114">
        <f>B6*$C$4</f>
        <v>61.241939999999992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  <c r="P6" s="220"/>
      <c r="Q6" s="363"/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56.337199999999996</v>
      </c>
      <c r="D7" s="111"/>
      <c r="E7" s="112"/>
      <c r="F7" s="110"/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  <c r="P7" s="220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57.406539999999993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220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57.950099999999999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220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45.120559999999998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220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278.05633999999998</v>
      </c>
      <c r="D11" s="118">
        <f t="shared" ref="D11:O11" si="2">SUM(D6:D10)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0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64.956319999999991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63.717940000000006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56.356299999999997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68.37688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59.708219999999997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591.17199999999991</v>
      </c>
      <c r="D17" s="118">
        <f>SUM(D11:D16)</f>
        <v>0</v>
      </c>
      <c r="E17" s="118">
        <f t="shared" ref="E17:N17" si="4">SUM(E11:E16)</f>
        <v>0</v>
      </c>
      <c r="F17" s="118">
        <f>SUM(F11:F16)</f>
        <v>0</v>
      </c>
      <c r="G17" s="118">
        <f t="shared" si="4"/>
        <v>0</v>
      </c>
      <c r="H17" s="118">
        <f t="shared" si="4"/>
        <v>0</v>
      </c>
      <c r="I17" s="118">
        <f t="shared" si="4"/>
        <v>0</v>
      </c>
      <c r="J17" s="118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8">
        <f t="shared" si="4"/>
        <v>0</v>
      </c>
      <c r="O17" s="118">
        <f>SUM(O11:O16)</f>
        <v>0</v>
      </c>
    </row>
    <row r="18" spans="1:15" s="3" customFormat="1" ht="18" thickBot="1" x14ac:dyDescent="0.25">
      <c r="A18" s="5"/>
      <c r="B18" s="5"/>
      <c r="C18" s="5" t="s">
        <v>14</v>
      </c>
      <c r="D18" s="5"/>
      <c r="E18" s="364" t="s">
        <v>110</v>
      </c>
      <c r="F18" s="365"/>
      <c r="G18" s="366" t="s">
        <v>111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 t="e">
        <f>F17/O17</f>
        <v>#DIV/0!</v>
      </c>
      <c r="F19" s="373"/>
      <c r="G19" s="376" t="e">
        <f>H17/O17</f>
        <v>#DIV/0!</v>
      </c>
      <c r="H19" s="377"/>
      <c r="I19" s="142"/>
      <c r="J19" s="380" t="e">
        <f>(J17+L17)/O17</f>
        <v>#DIV/0!</v>
      </c>
      <c r="K19" s="381"/>
      <c r="L19" s="381"/>
      <c r="M19" s="381"/>
      <c r="N19" s="373"/>
      <c r="O19" s="384">
        <f>O17/C17</f>
        <v>0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 t="e">
        <f>SUM(E19+G19+J19)</f>
        <v>#DIV/0!</v>
      </c>
    </row>
    <row r="22" spans="1:15" x14ac:dyDescent="0.2">
      <c r="B22" s="128" t="s">
        <v>75</v>
      </c>
      <c r="C22" s="129">
        <f>26*(C17/B17)</f>
        <v>0.70200189995980855</v>
      </c>
      <c r="J22" s="1"/>
      <c r="K22" s="1"/>
      <c r="M22" s="1"/>
      <c r="N22" s="1"/>
      <c r="O22" s="1">
        <f>O17-C17</f>
        <v>-591.17199999999991</v>
      </c>
    </row>
    <row r="23" spans="1:15" x14ac:dyDescent="0.2">
      <c r="B23" s="128"/>
      <c r="C23" s="129" t="s">
        <v>112</v>
      </c>
      <c r="D23" s="2"/>
      <c r="F23" s="25" t="s">
        <v>14</v>
      </c>
      <c r="K23" s="25" t="s">
        <v>14</v>
      </c>
    </row>
  </sheetData>
  <mergeCells count="17">
    <mergeCell ref="Q6:Q7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4B94-3B6F-8647-B65A-C87DF235663E}">
  <dimension ref="A1:P38"/>
  <sheetViews>
    <sheetView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8" sqref="A18"/>
    </sheetView>
  </sheetViews>
  <sheetFormatPr baseColWidth="10" defaultRowHeight="16" x14ac:dyDescent="0.2"/>
  <cols>
    <col min="1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384" width="10.83203125" style="25"/>
  </cols>
  <sheetData>
    <row r="1" spans="1:16" ht="21" x14ac:dyDescent="0.2">
      <c r="A1" s="35" t="s">
        <v>29</v>
      </c>
      <c r="B1" s="36">
        <v>0.20549999999999999</v>
      </c>
      <c r="F1" s="10"/>
      <c r="I1" s="10"/>
    </row>
    <row r="2" spans="1:16" ht="22" thickBot="1" x14ac:dyDescent="0.25">
      <c r="B2" s="352" t="s">
        <v>27</v>
      </c>
      <c r="C2" s="353"/>
      <c r="I2" s="9"/>
    </row>
    <row r="3" spans="1:16" s="3" customFormat="1" ht="17" x14ac:dyDescent="0.2">
      <c r="A3" s="13" t="s">
        <v>0</v>
      </c>
      <c r="B3" s="37" t="s">
        <v>28</v>
      </c>
      <c r="C3" s="37" t="str">
        <f>A1</f>
        <v>France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30" t="s">
        <v>12</v>
      </c>
    </row>
    <row r="4" spans="1:16" s="3" customFormat="1" ht="17" x14ac:dyDescent="0.2">
      <c r="A4" s="14"/>
      <c r="B4" s="14"/>
      <c r="C4" s="120">
        <f>B1</f>
        <v>0.20549999999999999</v>
      </c>
      <c r="D4" s="14"/>
      <c r="E4" s="15"/>
      <c r="F4" s="16"/>
      <c r="G4" s="130" t="s">
        <v>10</v>
      </c>
      <c r="H4" s="130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6" s="3" customFormat="1" ht="18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6" s="3" customFormat="1" ht="18" thickTop="1" thickBot="1" x14ac:dyDescent="0.25">
      <c r="A6" s="109">
        <v>2021</v>
      </c>
      <c r="B6" s="109">
        <v>2411.1</v>
      </c>
      <c r="C6" s="110">
        <v>495.48104999999993</v>
      </c>
      <c r="D6" s="111"/>
      <c r="E6" s="112">
        <v>0</v>
      </c>
      <c r="F6" s="110">
        <v>0</v>
      </c>
      <c r="G6" s="225">
        <v>1</v>
      </c>
      <c r="H6" s="225">
        <v>110</v>
      </c>
      <c r="I6" s="112">
        <v>20</v>
      </c>
      <c r="J6" s="112">
        <v>40</v>
      </c>
      <c r="K6" s="110">
        <v>0</v>
      </c>
      <c r="L6" s="111">
        <v>0</v>
      </c>
      <c r="M6" s="110">
        <v>0</v>
      </c>
      <c r="N6" s="110">
        <v>0</v>
      </c>
      <c r="O6" s="110">
        <v>150</v>
      </c>
      <c r="P6" s="3">
        <v>150</v>
      </c>
    </row>
    <row r="7" spans="1:16" s="3" customFormat="1" ht="17" thickBot="1" x14ac:dyDescent="0.25">
      <c r="A7" s="113">
        <v>2022</v>
      </c>
      <c r="B7" s="113">
        <v>2218</v>
      </c>
      <c r="C7" s="114">
        <v>455.79899999999998</v>
      </c>
      <c r="D7" s="115"/>
      <c r="E7" s="116">
        <v>3</v>
      </c>
      <c r="F7" s="224">
        <v>509.4</v>
      </c>
      <c r="G7" s="224">
        <v>0</v>
      </c>
      <c r="H7" s="224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4">
        <v>509.4</v>
      </c>
    </row>
    <row r="8" spans="1:16" s="3" customFormat="1" ht="17" thickBot="1" x14ac:dyDescent="0.25">
      <c r="A8" s="109">
        <v>2023</v>
      </c>
      <c r="B8" s="109">
        <v>2260.1</v>
      </c>
      <c r="C8" s="110">
        <v>464.45054999999996</v>
      </c>
      <c r="D8" s="111"/>
      <c r="E8" s="112">
        <v>2</v>
      </c>
      <c r="F8" s="225">
        <v>357.7</v>
      </c>
      <c r="G8" s="225">
        <v>1</v>
      </c>
      <c r="H8" s="225">
        <v>112.89999999999999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0">
        <v>470.59999999999997</v>
      </c>
    </row>
    <row r="9" spans="1:16" s="3" customFormat="1" ht="17" thickBot="1" x14ac:dyDescent="0.25">
      <c r="A9" s="113">
        <v>2024</v>
      </c>
      <c r="B9" s="113">
        <v>2281.5</v>
      </c>
      <c r="C9" s="114">
        <v>468.84824999999995</v>
      </c>
      <c r="D9" s="115"/>
      <c r="E9" s="116">
        <v>1</v>
      </c>
      <c r="F9" s="114">
        <v>174.8</v>
      </c>
      <c r="G9" s="113">
        <v>0</v>
      </c>
      <c r="H9" s="114">
        <v>0</v>
      </c>
      <c r="I9" s="114">
        <v>0</v>
      </c>
      <c r="J9" s="114">
        <v>105</v>
      </c>
      <c r="K9" s="114">
        <v>284</v>
      </c>
      <c r="L9" s="113">
        <v>80</v>
      </c>
      <c r="M9" s="114">
        <v>0</v>
      </c>
      <c r="N9" s="114">
        <v>0</v>
      </c>
      <c r="O9" s="114">
        <v>643.79999999999995</v>
      </c>
    </row>
    <row r="10" spans="1:16" s="3" customFormat="1" ht="17" thickBot="1" x14ac:dyDescent="0.25">
      <c r="A10" s="109">
        <v>2025</v>
      </c>
      <c r="B10" s="109">
        <v>1776.4</v>
      </c>
      <c r="C10" s="110">
        <v>365.05020000000002</v>
      </c>
      <c r="D10" s="111"/>
      <c r="E10" s="112">
        <v>2</v>
      </c>
      <c r="F10" s="110">
        <v>368.1</v>
      </c>
      <c r="G10" s="109">
        <v>2</v>
      </c>
      <c r="H10" s="110">
        <v>237.3</v>
      </c>
      <c r="I10" s="110">
        <v>0</v>
      </c>
      <c r="J10" s="110">
        <v>0</v>
      </c>
      <c r="K10" s="110">
        <v>0</v>
      </c>
      <c r="L10" s="111">
        <v>0</v>
      </c>
      <c r="M10" s="110">
        <v>0</v>
      </c>
      <c r="N10" s="110">
        <v>0</v>
      </c>
      <c r="O10" s="110">
        <v>605.40000000000009</v>
      </c>
    </row>
    <row r="11" spans="1:16" s="3" customFormat="1" ht="17" thickBot="1" x14ac:dyDescent="0.25">
      <c r="A11" s="113">
        <v>2026</v>
      </c>
      <c r="B11" s="8">
        <v>2271.1999999999998</v>
      </c>
      <c r="C11" s="114">
        <v>466.73159999999996</v>
      </c>
      <c r="D11" s="115"/>
      <c r="E11" s="116">
        <v>3</v>
      </c>
      <c r="F11" s="114">
        <v>540.1</v>
      </c>
      <c r="G11" s="113">
        <v>0</v>
      </c>
      <c r="H11" s="114">
        <v>0</v>
      </c>
      <c r="I11" s="114">
        <v>0</v>
      </c>
      <c r="J11" s="114">
        <v>0</v>
      </c>
      <c r="K11" s="114">
        <v>0</v>
      </c>
      <c r="L11" s="113">
        <v>0</v>
      </c>
      <c r="M11" s="114">
        <v>0</v>
      </c>
      <c r="N11" s="114">
        <v>0</v>
      </c>
      <c r="O11" s="114">
        <v>540.1</v>
      </c>
    </row>
    <row r="12" spans="1:16" s="3" customFormat="1" ht="18" thickBot="1" x14ac:dyDescent="0.25">
      <c r="A12" s="117" t="s">
        <v>93</v>
      </c>
      <c r="B12" s="117">
        <v>10807.2</v>
      </c>
      <c r="C12" s="118">
        <v>2716.3606500000001</v>
      </c>
      <c r="D12" s="118">
        <v>0</v>
      </c>
      <c r="E12" s="118">
        <v>11</v>
      </c>
      <c r="F12" s="118">
        <v>1950.1</v>
      </c>
      <c r="G12" s="118">
        <v>4</v>
      </c>
      <c r="H12" s="118">
        <v>460.2</v>
      </c>
      <c r="I12" s="118">
        <v>20</v>
      </c>
      <c r="J12" s="118">
        <v>145</v>
      </c>
      <c r="K12" s="118">
        <v>284</v>
      </c>
      <c r="L12" s="118">
        <v>80</v>
      </c>
      <c r="M12" s="118">
        <v>0</v>
      </c>
      <c r="N12" s="118">
        <v>0</v>
      </c>
      <c r="O12" s="118">
        <v>2919.2999999999997</v>
      </c>
    </row>
    <row r="13" spans="1:16" s="3" customFormat="1" ht="17" thickBot="1" x14ac:dyDescent="0.25">
      <c r="A13" s="8">
        <v>2027</v>
      </c>
      <c r="B13" s="8">
        <v>2227.9</v>
      </c>
      <c r="C13" s="11">
        <v>457.83344999999997</v>
      </c>
      <c r="D13" s="5"/>
      <c r="E13" s="18">
        <v>0</v>
      </c>
      <c r="F13" s="12">
        <v>0</v>
      </c>
      <c r="G13" s="8">
        <v>1</v>
      </c>
      <c r="H13" s="12">
        <v>119.83333333333333</v>
      </c>
      <c r="I13" s="12">
        <v>25</v>
      </c>
      <c r="J13" s="12">
        <v>50</v>
      </c>
      <c r="K13" s="12">
        <v>0</v>
      </c>
      <c r="L13" s="5">
        <v>0</v>
      </c>
      <c r="M13" s="12">
        <v>0</v>
      </c>
      <c r="N13" s="12">
        <v>0</v>
      </c>
      <c r="O13" s="11">
        <v>169.83333333333331</v>
      </c>
    </row>
    <row r="14" spans="1:16" s="3" customFormat="1" ht="17" thickBot="1" x14ac:dyDescent="0.25">
      <c r="A14" s="6">
        <v>2028</v>
      </c>
      <c r="B14" s="6">
        <v>1970.5</v>
      </c>
      <c r="C14" s="11">
        <v>404.93774999999999</v>
      </c>
      <c r="D14" s="7"/>
      <c r="E14" s="17">
        <v>2</v>
      </c>
      <c r="F14" s="11">
        <v>371.6</v>
      </c>
      <c r="G14" s="6">
        <v>0</v>
      </c>
      <c r="H14" s="11">
        <v>0</v>
      </c>
      <c r="I14" s="11">
        <v>0</v>
      </c>
      <c r="J14" s="11">
        <v>0</v>
      </c>
      <c r="K14" s="11">
        <v>48</v>
      </c>
      <c r="L14" s="7">
        <v>0</v>
      </c>
      <c r="M14" s="11">
        <v>0</v>
      </c>
      <c r="N14" s="11">
        <v>0</v>
      </c>
      <c r="O14" s="11">
        <v>419.6</v>
      </c>
      <c r="P14" s="3" t="s">
        <v>14</v>
      </c>
    </row>
    <row r="15" spans="1:16" s="3" customFormat="1" ht="17" thickBot="1" x14ac:dyDescent="0.25">
      <c r="A15" s="8">
        <v>2029</v>
      </c>
      <c r="B15" s="8">
        <v>2390.8000000000002</v>
      </c>
      <c r="C15" s="11">
        <v>491.30939999999998</v>
      </c>
      <c r="D15" s="5"/>
      <c r="E15" s="18">
        <v>2</v>
      </c>
      <c r="F15" s="12">
        <v>390.4</v>
      </c>
      <c r="G15" s="8">
        <v>0</v>
      </c>
      <c r="H15" s="12">
        <v>0</v>
      </c>
      <c r="I15" s="12">
        <v>0</v>
      </c>
      <c r="J15" s="12">
        <v>0</v>
      </c>
      <c r="K15" s="12">
        <v>56</v>
      </c>
      <c r="L15" s="5">
        <v>0</v>
      </c>
      <c r="M15" s="12">
        <v>0</v>
      </c>
      <c r="N15" s="12">
        <v>0</v>
      </c>
      <c r="O15" s="11">
        <v>446.4</v>
      </c>
    </row>
    <row r="16" spans="1:16" s="3" customFormat="1" ht="17" thickBot="1" x14ac:dyDescent="0.25">
      <c r="A16" s="6">
        <v>2030</v>
      </c>
      <c r="B16" s="6">
        <v>2087.6999999999998</v>
      </c>
      <c r="C16" s="11">
        <v>429.02234999999996</v>
      </c>
      <c r="D16" s="7"/>
      <c r="E16" s="17">
        <v>1</v>
      </c>
      <c r="F16" s="11">
        <v>191</v>
      </c>
      <c r="G16" s="6">
        <v>0</v>
      </c>
      <c r="H16" s="11">
        <v>0</v>
      </c>
      <c r="I16" s="11">
        <v>0</v>
      </c>
      <c r="J16" s="21">
        <v>0</v>
      </c>
      <c r="K16" s="21">
        <v>0</v>
      </c>
      <c r="L16" s="6">
        <v>0</v>
      </c>
      <c r="M16" s="21">
        <v>0</v>
      </c>
      <c r="N16" s="21">
        <v>0</v>
      </c>
      <c r="O16" s="11">
        <v>191</v>
      </c>
    </row>
    <row r="17" spans="1:15" s="3" customFormat="1" ht="18" thickBot="1" x14ac:dyDescent="0.25">
      <c r="A17" s="117" t="s">
        <v>5</v>
      </c>
      <c r="B17" s="117">
        <v>19484.100000000002</v>
      </c>
      <c r="C17" s="118">
        <v>4499.4636</v>
      </c>
      <c r="D17" s="118">
        <v>0</v>
      </c>
      <c r="E17" s="118">
        <v>16</v>
      </c>
      <c r="F17" s="118">
        <v>2903.1</v>
      </c>
      <c r="G17" s="118">
        <v>5</v>
      </c>
      <c r="H17" s="118">
        <v>580.0333333333333</v>
      </c>
      <c r="I17" s="118">
        <v>45</v>
      </c>
      <c r="J17" s="118">
        <v>195</v>
      </c>
      <c r="K17" s="118">
        <v>388</v>
      </c>
      <c r="L17" s="118">
        <v>80</v>
      </c>
      <c r="M17" s="118">
        <v>0</v>
      </c>
      <c r="N17" s="118">
        <v>0</v>
      </c>
      <c r="O17" s="118">
        <v>4146.1333333333332</v>
      </c>
    </row>
    <row r="18" spans="1:15" s="3" customFormat="1" ht="18" customHeight="1" thickBot="1" x14ac:dyDescent="0.25">
      <c r="A18" s="5"/>
      <c r="B18" s="5"/>
      <c r="C18" s="5" t="s">
        <v>14</v>
      </c>
      <c r="D18" s="5"/>
      <c r="E18" s="390" t="s">
        <v>23</v>
      </c>
      <c r="F18" s="391"/>
      <c r="G18" s="392" t="s">
        <v>6</v>
      </c>
      <c r="H18" s="393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>
        <f>F17/O17</f>
        <v>0.70019455878569592</v>
      </c>
      <c r="F19" s="373"/>
      <c r="G19" s="376">
        <f>H17/O17</f>
        <v>0.13989741445845125</v>
      </c>
      <c r="H19" s="377"/>
      <c r="I19" s="142"/>
      <c r="J19" s="380">
        <f>(J17+L17)/O17</f>
        <v>6.6326858759969132E-2</v>
      </c>
      <c r="K19" s="381"/>
      <c r="L19" s="381"/>
      <c r="M19" s="381"/>
      <c r="N19" s="373"/>
      <c r="O19" s="384">
        <f>O17/C17</f>
        <v>0.92147280252102348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>
        <f>SUM(E19+G19+J19)</f>
        <v>0.90641883200411633</v>
      </c>
    </row>
    <row r="22" spans="1:15" x14ac:dyDescent="0.2">
      <c r="B22" s="128" t="s">
        <v>75</v>
      </c>
      <c r="C22" s="129">
        <f>26*B1</f>
        <v>5.343</v>
      </c>
      <c r="J22" s="1"/>
      <c r="K22" s="1"/>
      <c r="M22" s="1"/>
      <c r="N22" s="1"/>
      <c r="O22" s="1">
        <f>O17-C17</f>
        <v>-353.33026666666683</v>
      </c>
    </row>
    <row r="23" spans="1:15" x14ac:dyDescent="0.2">
      <c r="B23" s="128"/>
      <c r="C23" s="129" t="s">
        <v>76</v>
      </c>
      <c r="D23" s="2"/>
      <c r="F23" s="25" t="s">
        <v>14</v>
      </c>
      <c r="K23" s="25" t="s">
        <v>14</v>
      </c>
      <c r="N23" s="25" t="s">
        <v>14</v>
      </c>
    </row>
    <row r="24" spans="1:15" ht="16" customHeight="1" x14ac:dyDescent="0.2">
      <c r="C24" s="2"/>
      <c r="D24" s="2"/>
      <c r="J24" s="386" t="s">
        <v>84</v>
      </c>
      <c r="K24" s="387"/>
      <c r="L24" s="388" t="s">
        <v>85</v>
      </c>
      <c r="M24" s="389"/>
    </row>
    <row r="25" spans="1:15" ht="51" x14ac:dyDescent="0.2">
      <c r="D25" s="25" t="s">
        <v>14</v>
      </c>
      <c r="H25" s="25" t="s">
        <v>14</v>
      </c>
      <c r="I25" s="26" t="s">
        <v>13</v>
      </c>
      <c r="J25" s="122" t="s">
        <v>81</v>
      </c>
      <c r="K25" s="122" t="s">
        <v>77</v>
      </c>
      <c r="L25" s="124" t="s">
        <v>80</v>
      </c>
      <c r="M25" s="125" t="s">
        <v>79</v>
      </c>
    </row>
    <row r="26" spans="1:15" x14ac:dyDescent="0.2">
      <c r="I26" s="27">
        <v>2021</v>
      </c>
      <c r="J26" s="27">
        <v>20</v>
      </c>
      <c r="K26" s="27"/>
      <c r="L26" s="126" t="str">
        <f>I5</f>
        <v>(IVA escl.)</v>
      </c>
      <c r="M26" s="123">
        <v>2021</v>
      </c>
    </row>
    <row r="27" spans="1:15" x14ac:dyDescent="0.2">
      <c r="I27" s="27">
        <v>2022</v>
      </c>
      <c r="J27" s="27"/>
      <c r="K27" s="27">
        <v>20</v>
      </c>
      <c r="L27" s="126">
        <f>I7</f>
        <v>0</v>
      </c>
      <c r="M27" s="123">
        <f>M26+1</f>
        <v>2022</v>
      </c>
    </row>
    <row r="28" spans="1:15" x14ac:dyDescent="0.2">
      <c r="I28" s="27">
        <v>2023</v>
      </c>
      <c r="J28" s="27">
        <v>25</v>
      </c>
      <c r="K28" s="27"/>
      <c r="L28" s="126">
        <f>I8</f>
        <v>0</v>
      </c>
      <c r="M28" s="123">
        <f t="shared" ref="M28:M35" si="0">M27+1</f>
        <v>2023</v>
      </c>
    </row>
    <row r="29" spans="1:15" x14ac:dyDescent="0.2">
      <c r="I29" s="27">
        <v>2024</v>
      </c>
      <c r="J29" s="27"/>
      <c r="K29" s="27"/>
      <c r="L29" s="126">
        <f>I9</f>
        <v>0</v>
      </c>
      <c r="M29" s="123">
        <f t="shared" si="0"/>
        <v>2024</v>
      </c>
      <c r="N29" s="25" t="s">
        <v>86</v>
      </c>
      <c r="O29" s="25" t="s">
        <v>87</v>
      </c>
    </row>
    <row r="30" spans="1:15" x14ac:dyDescent="0.2">
      <c r="I30" s="27">
        <v>2025</v>
      </c>
      <c r="J30" s="27"/>
      <c r="K30" s="27">
        <v>3</v>
      </c>
      <c r="L30" s="126">
        <f>I10</f>
        <v>0</v>
      </c>
      <c r="M30" s="123">
        <f t="shared" si="0"/>
        <v>2025</v>
      </c>
      <c r="N30" s="1">
        <f>SUM(L26:L30)</f>
        <v>0</v>
      </c>
      <c r="O30" s="1">
        <f>N30-J36</f>
        <v>-45</v>
      </c>
    </row>
    <row r="31" spans="1:15" x14ac:dyDescent="0.2">
      <c r="I31" s="27">
        <v>2026</v>
      </c>
      <c r="J31" s="27"/>
      <c r="K31" s="27">
        <v>15</v>
      </c>
      <c r="L31" s="126">
        <f>I13</f>
        <v>25</v>
      </c>
      <c r="M31" s="123">
        <f t="shared" si="0"/>
        <v>2026</v>
      </c>
    </row>
    <row r="32" spans="1:15" x14ac:dyDescent="0.2">
      <c r="I32" s="27">
        <v>2027</v>
      </c>
      <c r="J32" s="27"/>
      <c r="K32" s="27">
        <v>20</v>
      </c>
      <c r="L32" s="126">
        <f>I14</f>
        <v>0</v>
      </c>
      <c r="M32" s="123">
        <f t="shared" si="0"/>
        <v>2027</v>
      </c>
    </row>
    <row r="33" spans="9:16" x14ac:dyDescent="0.2">
      <c r="I33" s="27">
        <v>2028</v>
      </c>
      <c r="J33" s="27"/>
      <c r="K33" s="27"/>
      <c r="L33" s="126">
        <f>I15</f>
        <v>0</v>
      </c>
      <c r="M33" s="123">
        <f t="shared" si="0"/>
        <v>2028</v>
      </c>
    </row>
    <row r="34" spans="9:16" x14ac:dyDescent="0.2">
      <c r="I34" s="27">
        <v>2029</v>
      </c>
      <c r="J34" s="27"/>
      <c r="K34" s="27">
        <v>20</v>
      </c>
      <c r="L34" s="126">
        <f>I16</f>
        <v>0</v>
      </c>
      <c r="M34" s="123">
        <f t="shared" si="0"/>
        <v>2029</v>
      </c>
      <c r="N34" s="25" t="s">
        <v>87</v>
      </c>
    </row>
    <row r="35" spans="9:16" x14ac:dyDescent="0.2">
      <c r="I35" s="27">
        <v>2030</v>
      </c>
      <c r="J35" s="27"/>
      <c r="K35" s="27"/>
      <c r="L35" s="126" t="e">
        <f>#REF!</f>
        <v>#REF!</v>
      </c>
      <c r="M35" s="123">
        <f t="shared" si="0"/>
        <v>2030</v>
      </c>
      <c r="N35" s="1" t="e">
        <f>SUM(L31:L35)</f>
        <v>#REF!</v>
      </c>
    </row>
    <row r="36" spans="9:16" x14ac:dyDescent="0.2">
      <c r="I36" s="25" t="s">
        <v>78</v>
      </c>
      <c r="J36" s="25">
        <f>SUM(J26:J35)</f>
        <v>45</v>
      </c>
      <c r="K36" s="25">
        <f>SUM(K26:K35)</f>
        <v>78</v>
      </c>
      <c r="L36" s="1" t="e">
        <f>SUM(L26:L35)</f>
        <v>#REF!</v>
      </c>
      <c r="P36" s="25" t="s">
        <v>14</v>
      </c>
    </row>
    <row r="37" spans="9:16" x14ac:dyDescent="0.2">
      <c r="K37" s="25">
        <f>SUM(J36:K36)</f>
        <v>123</v>
      </c>
      <c r="L37" s="25" t="s">
        <v>14</v>
      </c>
      <c r="M37" s="25" t="s">
        <v>14</v>
      </c>
    </row>
    <row r="38" spans="9:16" x14ac:dyDescent="0.2">
      <c r="J38" s="25" t="s">
        <v>14</v>
      </c>
    </row>
  </sheetData>
  <mergeCells count="18">
    <mergeCell ref="J24:K24"/>
    <mergeCell ref="L24:M24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C5F4-A782-C247-915C-3F8D9B2DBC20}">
  <dimension ref="A1:O23"/>
  <sheetViews>
    <sheetView zoomScale="130" zoomScaleNormal="130" workbookViewId="0">
      <pane xSplit="1" ySplit="5" topLeftCell="N6" activePane="bottomRight" state="frozen"/>
      <selection pane="topRight" activeCell="D1" sqref="D1"/>
      <selection pane="bottomLeft" activeCell="A6" sqref="A6"/>
      <selection pane="bottomRight" activeCell="E5" sqref="E5:F5"/>
    </sheetView>
  </sheetViews>
  <sheetFormatPr baseColWidth="10" defaultRowHeight="16" x14ac:dyDescent="0.2"/>
  <cols>
    <col min="1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384" width="10.83203125" style="25"/>
  </cols>
  <sheetData>
    <row r="1" spans="1:15" ht="21" x14ac:dyDescent="0.2">
      <c r="A1" s="35" t="s">
        <v>30</v>
      </c>
      <c r="B1" s="36">
        <v>0.20549999999999999</v>
      </c>
      <c r="D1" s="131"/>
      <c r="F1" s="10"/>
      <c r="I1" s="10"/>
    </row>
    <row r="2" spans="1:15" ht="22" thickBot="1" x14ac:dyDescent="0.25">
      <c r="B2" s="352" t="s">
        <v>27</v>
      </c>
      <c r="C2" s="353"/>
      <c r="I2" s="9"/>
    </row>
    <row r="3" spans="1:15" s="3" customFormat="1" ht="50" customHeight="1" x14ac:dyDescent="0.2">
      <c r="A3" s="13" t="s">
        <v>0</v>
      </c>
      <c r="B3" s="37" t="s">
        <v>28</v>
      </c>
      <c r="C3" s="37" t="str">
        <f>A1</f>
        <v>Germany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35" t="s">
        <v>12</v>
      </c>
    </row>
    <row r="4" spans="1:15" s="3" customFormat="1" ht="17" x14ac:dyDescent="0.2">
      <c r="A4" s="14"/>
      <c r="B4" s="14"/>
      <c r="C4" s="120">
        <f>B1</f>
        <v>0.20549999999999999</v>
      </c>
      <c r="D4" s="14"/>
      <c r="E4" s="15"/>
      <c r="F4" s="16"/>
      <c r="G4" s="135" t="s">
        <v>10</v>
      </c>
      <c r="H4" s="135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5" s="3" customFormat="1" ht="18" customHeight="1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5" s="3" customFormat="1" ht="18" thickTop="1" thickBot="1" x14ac:dyDescent="0.25">
      <c r="A6" s="113">
        <v>2021</v>
      </c>
      <c r="B6" s="113">
        <v>2411.1</v>
      </c>
      <c r="C6" s="114">
        <f>B6*$C$4</f>
        <v>495.48104999999993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</row>
    <row r="7" spans="1:15" s="3" customFormat="1" ht="17" thickBot="1" x14ac:dyDescent="0.25">
      <c r="A7" s="109">
        <v>2022</v>
      </c>
      <c r="B7" s="109">
        <v>2218</v>
      </c>
      <c r="C7" s="110">
        <f t="shared" ref="C7:C16" si="0">B7*$C$4</f>
        <v>455.79899999999998</v>
      </c>
      <c r="D7" s="111"/>
      <c r="E7" s="112"/>
      <c r="F7" s="110"/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</row>
    <row r="8" spans="1:15" s="3" customFormat="1" ht="17" thickBot="1" x14ac:dyDescent="0.25">
      <c r="A8" s="113">
        <v>2023</v>
      </c>
      <c r="B8" s="113">
        <v>2260.1</v>
      </c>
      <c r="C8" s="114">
        <f t="shared" si="0"/>
        <v>464.45054999999996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</row>
    <row r="9" spans="1:15" s="3" customFormat="1" ht="17" thickBot="1" x14ac:dyDescent="0.25">
      <c r="A9" s="109">
        <v>2024</v>
      </c>
      <c r="B9" s="109">
        <v>2281.5</v>
      </c>
      <c r="C9" s="110">
        <f t="shared" si="0"/>
        <v>468.84824999999995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</row>
    <row r="10" spans="1:15" s="3" customFormat="1" ht="17" thickBot="1" x14ac:dyDescent="0.25">
      <c r="A10" s="113">
        <v>2025</v>
      </c>
      <c r="B10" s="113">
        <v>1776.4</v>
      </c>
      <c r="C10" s="114">
        <f t="shared" si="0"/>
        <v>365.05020000000002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</row>
    <row r="11" spans="1:15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2249.62905</v>
      </c>
      <c r="D11" s="118">
        <f t="shared" ref="D11:O11" si="2">SUM(D6:D10)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0</v>
      </c>
    </row>
    <row r="12" spans="1:15" s="3" customFormat="1" ht="17" thickBot="1" x14ac:dyDescent="0.25">
      <c r="A12" s="8">
        <v>2026</v>
      </c>
      <c r="B12" s="8">
        <v>2271.1999999999998</v>
      </c>
      <c r="C12" s="11">
        <f t="shared" si="0"/>
        <v>466.73159999999996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5" s="3" customFormat="1" ht="17" thickBot="1" x14ac:dyDescent="0.25">
      <c r="A13" s="6">
        <v>2027</v>
      </c>
      <c r="B13" s="6">
        <v>2227.9</v>
      </c>
      <c r="C13" s="11">
        <f t="shared" si="0"/>
        <v>457.83344999999997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5" s="3" customFormat="1" ht="17" thickBot="1" x14ac:dyDescent="0.25">
      <c r="A14" s="8">
        <v>2028</v>
      </c>
      <c r="B14" s="8">
        <v>1970.5</v>
      </c>
      <c r="C14" s="11">
        <f t="shared" si="0"/>
        <v>404.93774999999999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5" s="3" customFormat="1" ht="17" thickBot="1" x14ac:dyDescent="0.25">
      <c r="A15" s="6">
        <v>2029</v>
      </c>
      <c r="B15" s="6">
        <v>2390.8000000000002</v>
      </c>
      <c r="C15" s="11">
        <f t="shared" si="0"/>
        <v>491.30939999999998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5" s="3" customFormat="1" ht="17" thickBot="1" x14ac:dyDescent="0.25">
      <c r="A16" s="8">
        <v>2030</v>
      </c>
      <c r="B16" s="8">
        <v>2087.6999999999998</v>
      </c>
      <c r="C16" s="11">
        <f t="shared" si="0"/>
        <v>429.02234999999996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4499.4636</v>
      </c>
      <c r="D17" s="118">
        <f>SUM(D11:D16)</f>
        <v>0</v>
      </c>
      <c r="E17" s="118">
        <f t="shared" ref="E17:N17" si="3">SUM(E11:E16)</f>
        <v>0</v>
      </c>
      <c r="F17" s="118">
        <f>SUM(F11:F16)</f>
        <v>0</v>
      </c>
      <c r="G17" s="118">
        <f t="shared" si="3"/>
        <v>0</v>
      </c>
      <c r="H17" s="118">
        <f t="shared" si="3"/>
        <v>0</v>
      </c>
      <c r="I17" s="118">
        <f t="shared" si="3"/>
        <v>0</v>
      </c>
      <c r="J17" s="118">
        <f t="shared" si="3"/>
        <v>0</v>
      </c>
      <c r="K17" s="118">
        <f t="shared" si="3"/>
        <v>0</v>
      </c>
      <c r="L17" s="118">
        <f t="shared" si="3"/>
        <v>0</v>
      </c>
      <c r="M17" s="118">
        <f t="shared" si="3"/>
        <v>0</v>
      </c>
      <c r="N17" s="118">
        <f t="shared" si="3"/>
        <v>0</v>
      </c>
      <c r="O17" s="118">
        <f>SUM(O11:O16)</f>
        <v>0</v>
      </c>
    </row>
    <row r="18" spans="1:15" s="3" customFormat="1" ht="35" customHeight="1" thickBot="1" x14ac:dyDescent="0.25">
      <c r="A18" s="5"/>
      <c r="B18" s="5"/>
      <c r="C18" s="5" t="s">
        <v>14</v>
      </c>
      <c r="D18" s="5"/>
      <c r="E18" s="390" t="s">
        <v>23</v>
      </c>
      <c r="F18" s="391"/>
      <c r="G18" s="392" t="s">
        <v>6</v>
      </c>
      <c r="H18" s="393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36"/>
      <c r="C19" s="370" t="s">
        <v>7</v>
      </c>
      <c r="D19" s="368"/>
      <c r="E19" s="372" t="e">
        <f>F17/O17</f>
        <v>#DIV/0!</v>
      </c>
      <c r="F19" s="373"/>
      <c r="G19" s="376" t="e">
        <f>H17/O17</f>
        <v>#DIV/0!</v>
      </c>
      <c r="H19" s="377"/>
      <c r="I19" s="133"/>
      <c r="J19" s="380" t="e">
        <f>(J17+L17)/O17</f>
        <v>#DIV/0!</v>
      </c>
      <c r="K19" s="381"/>
      <c r="L19" s="381"/>
      <c r="M19" s="381"/>
      <c r="N19" s="373"/>
      <c r="O19" s="384">
        <f>O17/C17</f>
        <v>0</v>
      </c>
    </row>
    <row r="20" spans="1:15" s="3" customFormat="1" ht="17" thickBot="1" x14ac:dyDescent="0.25">
      <c r="A20" s="369"/>
      <c r="B20" s="137"/>
      <c r="C20" s="371"/>
      <c r="D20" s="369"/>
      <c r="E20" s="374"/>
      <c r="F20" s="375"/>
      <c r="G20" s="378"/>
      <c r="H20" s="379"/>
      <c r="I20" s="134"/>
      <c r="J20" s="382"/>
      <c r="K20" s="383"/>
      <c r="L20" s="383"/>
      <c r="M20" s="383"/>
      <c r="N20" s="375"/>
      <c r="O20" s="385"/>
    </row>
    <row r="21" spans="1:15" x14ac:dyDescent="0.2">
      <c r="O21" s="23" t="e">
        <f>SUM(E19+G19+J19)</f>
        <v>#DIV/0!</v>
      </c>
    </row>
    <row r="22" spans="1:15" x14ac:dyDescent="0.2">
      <c r="B22" s="128" t="s">
        <v>75</v>
      </c>
      <c r="C22" s="129">
        <f>26*B1</f>
        <v>5.343</v>
      </c>
      <c r="J22" s="1"/>
      <c r="K22" s="1"/>
      <c r="M22" s="1"/>
      <c r="N22" s="1"/>
      <c r="O22" s="1">
        <f>O17-C17</f>
        <v>-4499.4636</v>
      </c>
    </row>
    <row r="23" spans="1:15" x14ac:dyDescent="0.2">
      <c r="B23" s="128"/>
      <c r="C23" s="129" t="s">
        <v>76</v>
      </c>
      <c r="D23" s="2"/>
      <c r="F23" s="25" t="s">
        <v>14</v>
      </c>
      <c r="K23" s="25" t="s">
        <v>14</v>
      </c>
    </row>
  </sheetData>
  <mergeCells count="16">
    <mergeCell ref="J19:N20"/>
    <mergeCell ref="O19:O20"/>
    <mergeCell ref="E18:F18"/>
    <mergeCell ref="G18:H18"/>
    <mergeCell ref="A19:A20"/>
    <mergeCell ref="C19:C20"/>
    <mergeCell ref="D19:D20"/>
    <mergeCell ref="E19:F20"/>
    <mergeCell ref="G19:H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A52BA-2AC3-634C-89BB-D1DCCE4BD71A}">
  <dimension ref="A1:Q23"/>
  <sheetViews>
    <sheetView workbookViewId="0">
      <selection activeCell="I29" sqref="I29"/>
    </sheetView>
  </sheetViews>
  <sheetFormatPr baseColWidth="10" defaultRowHeight="16" x14ac:dyDescent="0.2"/>
  <cols>
    <col min="1" max="1" width="12.5" style="25" customWidth="1"/>
    <col min="2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0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" width="10.83203125" style="25"/>
    <col min="17" max="17" width="14.33203125" style="25" customWidth="1"/>
    <col min="18" max="16384" width="10.83203125" style="25"/>
  </cols>
  <sheetData>
    <row r="1" spans="1:17" ht="21" x14ac:dyDescent="0.2">
      <c r="A1" s="35" t="s">
        <v>116</v>
      </c>
      <c r="B1" s="36">
        <v>0</v>
      </c>
      <c r="C1" s="132">
        <v>5.3999999999999999E-2</v>
      </c>
      <c r="D1" s="219">
        <f>(B1+C1)/2</f>
        <v>2.7E-2</v>
      </c>
      <c r="F1" s="10"/>
      <c r="I1" s="10"/>
    </row>
    <row r="2" spans="1:17" ht="22" thickBot="1" x14ac:dyDescent="0.25">
      <c r="B2" s="352" t="s">
        <v>27</v>
      </c>
      <c r="C2" s="353"/>
      <c r="I2" s="9"/>
    </row>
    <row r="3" spans="1:17" s="3" customFormat="1" ht="17" x14ac:dyDescent="0.2">
      <c r="A3" s="13" t="s">
        <v>0</v>
      </c>
      <c r="B3" s="37" t="s">
        <v>28</v>
      </c>
      <c r="C3" s="37" t="str">
        <f>A1</f>
        <v>HUNGARY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83</v>
      </c>
      <c r="J3" s="356"/>
      <c r="K3" s="19" t="s">
        <v>26</v>
      </c>
      <c r="L3" s="31" t="s">
        <v>8</v>
      </c>
      <c r="M3" s="19" t="s">
        <v>24</v>
      </c>
      <c r="N3" s="19" t="s">
        <v>25</v>
      </c>
      <c r="O3" s="144" t="s">
        <v>12</v>
      </c>
    </row>
    <row r="4" spans="1:17" s="3" customFormat="1" ht="17" x14ac:dyDescent="0.2">
      <c r="A4" s="14"/>
      <c r="B4" s="14"/>
      <c r="C4" s="120">
        <f>B1</f>
        <v>0</v>
      </c>
      <c r="D4" s="14"/>
      <c r="E4" s="15"/>
      <c r="F4" s="16"/>
      <c r="G4" s="144" t="s">
        <v>10</v>
      </c>
      <c r="H4" s="144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7" s="3" customFormat="1" ht="18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61" t="s">
        <v>4</v>
      </c>
      <c r="J5" s="362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7" s="3" customFormat="1" ht="18" thickTop="1" thickBot="1" x14ac:dyDescent="0.25">
      <c r="A6" s="113">
        <v>2021</v>
      </c>
      <c r="B6" s="113">
        <v>2411.1</v>
      </c>
      <c r="C6" s="114">
        <f>B6*$C$4</f>
        <v>0</v>
      </c>
      <c r="D6" s="115"/>
      <c r="E6" s="116"/>
      <c r="F6" s="114"/>
      <c r="G6" s="113"/>
      <c r="H6" s="114"/>
      <c r="I6" s="114"/>
      <c r="J6" s="114"/>
      <c r="K6" s="114"/>
      <c r="L6" s="113"/>
      <c r="M6" s="114"/>
      <c r="N6" s="114"/>
      <c r="O6" s="114">
        <f>F6+H6+J6+K6+L6+M6+N6</f>
        <v>0</v>
      </c>
      <c r="P6" s="220"/>
      <c r="Q6" s="363"/>
    </row>
    <row r="7" spans="1:17" s="3" customFormat="1" ht="17" thickBot="1" x14ac:dyDescent="0.25">
      <c r="A7" s="109">
        <v>2022</v>
      </c>
      <c r="B7" s="109">
        <v>2218</v>
      </c>
      <c r="C7" s="110">
        <f t="shared" ref="C7:C10" si="0">B7*$C$4</f>
        <v>0</v>
      </c>
      <c r="D7" s="111"/>
      <c r="E7" s="112"/>
      <c r="F7" s="110"/>
      <c r="G7" s="109"/>
      <c r="H7" s="110"/>
      <c r="I7" s="110"/>
      <c r="J7" s="110"/>
      <c r="K7" s="110"/>
      <c r="L7" s="111"/>
      <c r="M7" s="110"/>
      <c r="N7" s="110"/>
      <c r="O7" s="110">
        <f t="shared" ref="O7:O16" si="1">F7+H7+J7+K7+L7+M7+N7</f>
        <v>0</v>
      </c>
      <c r="P7" s="220"/>
      <c r="Q7" s="363"/>
    </row>
    <row r="8" spans="1:17" s="3" customFormat="1" ht="17" thickBot="1" x14ac:dyDescent="0.25">
      <c r="A8" s="113">
        <v>2023</v>
      </c>
      <c r="B8" s="113">
        <v>2260.1</v>
      </c>
      <c r="C8" s="114">
        <f t="shared" si="0"/>
        <v>0</v>
      </c>
      <c r="D8" s="115"/>
      <c r="E8" s="116"/>
      <c r="F8" s="114"/>
      <c r="G8" s="113"/>
      <c r="H8" s="114"/>
      <c r="I8" s="114"/>
      <c r="J8" s="114"/>
      <c r="K8" s="114"/>
      <c r="L8" s="113"/>
      <c r="M8" s="114"/>
      <c r="N8" s="114"/>
      <c r="O8" s="114">
        <f t="shared" si="1"/>
        <v>0</v>
      </c>
      <c r="P8" s="220"/>
    </row>
    <row r="9" spans="1:17" s="3" customFormat="1" ht="17" thickBot="1" x14ac:dyDescent="0.25">
      <c r="A9" s="109">
        <v>2024</v>
      </c>
      <c r="B9" s="109">
        <v>2281.5</v>
      </c>
      <c r="C9" s="110">
        <f t="shared" si="0"/>
        <v>0</v>
      </c>
      <c r="D9" s="111"/>
      <c r="E9" s="112"/>
      <c r="F9" s="110"/>
      <c r="G9" s="109"/>
      <c r="H9" s="110"/>
      <c r="I9" s="110"/>
      <c r="J9" s="110"/>
      <c r="K9" s="110"/>
      <c r="L9" s="111"/>
      <c r="M9" s="110"/>
      <c r="N9" s="110"/>
      <c r="O9" s="110">
        <f t="shared" si="1"/>
        <v>0</v>
      </c>
      <c r="P9" s="220"/>
    </row>
    <row r="10" spans="1:17" s="3" customFormat="1" ht="17" thickBot="1" x14ac:dyDescent="0.25">
      <c r="A10" s="113">
        <v>2025</v>
      </c>
      <c r="B10" s="113">
        <v>1776.4</v>
      </c>
      <c r="C10" s="114">
        <f t="shared" si="0"/>
        <v>0</v>
      </c>
      <c r="D10" s="115"/>
      <c r="E10" s="116"/>
      <c r="F10" s="114"/>
      <c r="G10" s="113"/>
      <c r="H10" s="114"/>
      <c r="I10" s="114"/>
      <c r="J10" s="114"/>
      <c r="K10" s="114"/>
      <c r="L10" s="113"/>
      <c r="M10" s="114"/>
      <c r="N10" s="114"/>
      <c r="O10" s="114">
        <f t="shared" si="1"/>
        <v>0</v>
      </c>
      <c r="P10" s="220"/>
    </row>
    <row r="11" spans="1:17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0</v>
      </c>
      <c r="D11" s="118">
        <f t="shared" ref="D11:O11" si="2">SUM(D6:D10)</f>
        <v>0</v>
      </c>
      <c r="E11" s="118">
        <f t="shared" si="2"/>
        <v>0</v>
      </c>
      <c r="F11" s="118">
        <f t="shared" si="2"/>
        <v>0</v>
      </c>
      <c r="G11" s="118">
        <f t="shared" si="2"/>
        <v>0</v>
      </c>
      <c r="H11" s="118">
        <f t="shared" si="2"/>
        <v>0</v>
      </c>
      <c r="I11" s="118">
        <f t="shared" si="2"/>
        <v>0</v>
      </c>
      <c r="J11" s="118">
        <f t="shared" si="2"/>
        <v>0</v>
      </c>
      <c r="K11" s="118">
        <f t="shared" si="2"/>
        <v>0</v>
      </c>
      <c r="L11" s="118">
        <f t="shared" si="2"/>
        <v>0</v>
      </c>
      <c r="M11" s="118">
        <f t="shared" si="2"/>
        <v>0</v>
      </c>
      <c r="N11" s="118">
        <f t="shared" si="2"/>
        <v>0</v>
      </c>
      <c r="O11" s="118">
        <f t="shared" si="2"/>
        <v>0</v>
      </c>
    </row>
    <row r="12" spans="1:17" s="3" customFormat="1" ht="17" thickBot="1" x14ac:dyDescent="0.25">
      <c r="A12" s="8">
        <v>2026</v>
      </c>
      <c r="B12" s="8">
        <v>2271.1999999999998</v>
      </c>
      <c r="C12" s="11">
        <f>B12*$C$1</f>
        <v>122.64479999999999</v>
      </c>
      <c r="D12" s="5"/>
      <c r="E12" s="18"/>
      <c r="F12" s="12"/>
      <c r="G12" s="8"/>
      <c r="H12" s="12"/>
      <c r="I12" s="12"/>
      <c r="J12" s="12"/>
      <c r="K12" s="12"/>
      <c r="L12" s="5"/>
      <c r="M12" s="12"/>
      <c r="N12" s="12"/>
      <c r="O12" s="11">
        <f t="shared" si="1"/>
        <v>0</v>
      </c>
    </row>
    <row r="13" spans="1:17" s="3" customFormat="1" ht="17" thickBot="1" x14ac:dyDescent="0.25">
      <c r="A13" s="6">
        <v>2027</v>
      </c>
      <c r="B13" s="6">
        <v>2227.9</v>
      </c>
      <c r="C13" s="11">
        <f t="shared" ref="C13:C16" si="3">B13*$C$1</f>
        <v>120.3066</v>
      </c>
      <c r="D13" s="7"/>
      <c r="E13" s="17"/>
      <c r="F13" s="11"/>
      <c r="G13" s="6"/>
      <c r="H13" s="11"/>
      <c r="I13" s="11"/>
      <c r="J13" s="11"/>
      <c r="K13" s="11"/>
      <c r="L13" s="7"/>
      <c r="M13" s="11"/>
      <c r="N13" s="11"/>
      <c r="O13" s="11">
        <f t="shared" si="1"/>
        <v>0</v>
      </c>
    </row>
    <row r="14" spans="1:17" s="3" customFormat="1" ht="17" thickBot="1" x14ac:dyDescent="0.25">
      <c r="A14" s="8">
        <v>2028</v>
      </c>
      <c r="B14" s="8">
        <v>1970.5</v>
      </c>
      <c r="C14" s="11">
        <f t="shared" si="3"/>
        <v>106.407</v>
      </c>
      <c r="D14" s="5"/>
      <c r="E14" s="18"/>
      <c r="F14" s="12"/>
      <c r="G14" s="8"/>
      <c r="H14" s="12"/>
      <c r="I14" s="12"/>
      <c r="J14" s="12"/>
      <c r="K14" s="12"/>
      <c r="L14" s="5"/>
      <c r="M14" s="12"/>
      <c r="N14" s="12"/>
      <c r="O14" s="11">
        <f t="shared" si="1"/>
        <v>0</v>
      </c>
    </row>
    <row r="15" spans="1:17" s="3" customFormat="1" ht="17" thickBot="1" x14ac:dyDescent="0.25">
      <c r="A15" s="6">
        <v>2029</v>
      </c>
      <c r="B15" s="6">
        <v>2390.8000000000002</v>
      </c>
      <c r="C15" s="11">
        <f t="shared" si="3"/>
        <v>129.10320000000002</v>
      </c>
      <c r="D15" s="7"/>
      <c r="E15" s="17"/>
      <c r="F15" s="11"/>
      <c r="G15" s="6"/>
      <c r="H15" s="11"/>
      <c r="I15" s="11"/>
      <c r="J15" s="21"/>
      <c r="K15" s="21"/>
      <c r="L15" s="6"/>
      <c r="M15" s="21"/>
      <c r="N15" s="21"/>
      <c r="O15" s="11">
        <f t="shared" si="1"/>
        <v>0</v>
      </c>
    </row>
    <row r="16" spans="1:17" s="3" customFormat="1" ht="17" thickBot="1" x14ac:dyDescent="0.25">
      <c r="A16" s="8">
        <v>2030</v>
      </c>
      <c r="B16" s="8">
        <v>2087.6999999999998</v>
      </c>
      <c r="C16" s="11">
        <f t="shared" si="3"/>
        <v>112.73579999999998</v>
      </c>
      <c r="D16" s="5"/>
      <c r="E16" s="18"/>
      <c r="F16" s="12"/>
      <c r="G16" s="8"/>
      <c r="H16" s="12"/>
      <c r="I16" s="12"/>
      <c r="J16" s="22"/>
      <c r="K16" s="22"/>
      <c r="L16" s="5"/>
      <c r="M16" s="22"/>
      <c r="N16" s="22"/>
      <c r="O16" s="11">
        <f t="shared" si="1"/>
        <v>0</v>
      </c>
    </row>
    <row r="17" spans="1:15" s="3" customFormat="1" ht="18" thickBot="1" x14ac:dyDescent="0.25">
      <c r="A17" s="117" t="s">
        <v>5</v>
      </c>
      <c r="B17" s="117">
        <f>SUM(B11:B16)</f>
        <v>21895.199999999997</v>
      </c>
      <c r="C17" s="118">
        <f>SUM(C11:C16)</f>
        <v>591.19740000000002</v>
      </c>
      <c r="D17" s="118">
        <f>SUM(D11:D16)</f>
        <v>0</v>
      </c>
      <c r="E17" s="118">
        <f t="shared" ref="E17:N17" si="4">SUM(E11:E16)</f>
        <v>0</v>
      </c>
      <c r="F17" s="118">
        <f>SUM(F11:F16)</f>
        <v>0</v>
      </c>
      <c r="G17" s="118">
        <f t="shared" si="4"/>
        <v>0</v>
      </c>
      <c r="H17" s="118">
        <f t="shared" si="4"/>
        <v>0</v>
      </c>
      <c r="I17" s="118">
        <f t="shared" si="4"/>
        <v>0</v>
      </c>
      <c r="J17" s="118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8">
        <f t="shared" si="4"/>
        <v>0</v>
      </c>
      <c r="O17" s="118">
        <f>SUM(O11:O16)</f>
        <v>0</v>
      </c>
    </row>
    <row r="18" spans="1:15" s="3" customFormat="1" ht="18" thickBot="1" x14ac:dyDescent="0.25">
      <c r="A18" s="5"/>
      <c r="B18" s="5"/>
      <c r="C18" s="5" t="s">
        <v>14</v>
      </c>
      <c r="D18" s="5"/>
      <c r="E18" s="364" t="s">
        <v>110</v>
      </c>
      <c r="F18" s="365"/>
      <c r="G18" s="366" t="s">
        <v>111</v>
      </c>
      <c r="H18" s="367"/>
      <c r="I18" s="24"/>
      <c r="J18" s="8"/>
      <c r="K18" s="8"/>
      <c r="L18" s="5"/>
      <c r="M18" s="8"/>
      <c r="N18" s="8"/>
      <c r="O18" s="34"/>
    </row>
    <row r="19" spans="1:15" s="3" customFormat="1" ht="16" customHeight="1" x14ac:dyDescent="0.2">
      <c r="A19" s="368"/>
      <c r="B19" s="140"/>
      <c r="C19" s="370" t="s">
        <v>7</v>
      </c>
      <c r="D19" s="368"/>
      <c r="E19" s="372" t="e">
        <f>F17/O17</f>
        <v>#DIV/0!</v>
      </c>
      <c r="F19" s="373"/>
      <c r="G19" s="376" t="e">
        <f>H17/O17</f>
        <v>#DIV/0!</v>
      </c>
      <c r="H19" s="377"/>
      <c r="I19" s="142"/>
      <c r="J19" s="380" t="e">
        <f>(J17+L17)/O17</f>
        <v>#DIV/0!</v>
      </c>
      <c r="K19" s="381"/>
      <c r="L19" s="381"/>
      <c r="M19" s="381"/>
      <c r="N19" s="373"/>
      <c r="O19" s="384">
        <f>O17/C17</f>
        <v>0</v>
      </c>
    </row>
    <row r="20" spans="1:15" s="3" customFormat="1" ht="17" thickBot="1" x14ac:dyDescent="0.25">
      <c r="A20" s="369"/>
      <c r="B20" s="141"/>
      <c r="C20" s="371"/>
      <c r="D20" s="369"/>
      <c r="E20" s="374"/>
      <c r="F20" s="375"/>
      <c r="G20" s="378"/>
      <c r="H20" s="379"/>
      <c r="I20" s="143"/>
      <c r="J20" s="382"/>
      <c r="K20" s="383"/>
      <c r="L20" s="383"/>
      <c r="M20" s="383"/>
      <c r="N20" s="375"/>
      <c r="O20" s="385"/>
    </row>
    <row r="21" spans="1:15" x14ac:dyDescent="0.2">
      <c r="O21" s="23" t="e">
        <f>SUM(E19+G19+J19)</f>
        <v>#DIV/0!</v>
      </c>
    </row>
    <row r="22" spans="1:15" x14ac:dyDescent="0.2">
      <c r="B22" s="128" t="s">
        <v>75</v>
      </c>
      <c r="C22" s="129">
        <f>26*(C17/B17)</f>
        <v>0.70203206182176925</v>
      </c>
      <c r="J22" s="1"/>
      <c r="K22" s="1"/>
      <c r="M22" s="1"/>
      <c r="N22" s="1"/>
      <c r="O22" s="1">
        <f>O17-C17</f>
        <v>-591.19740000000002</v>
      </c>
    </row>
    <row r="23" spans="1:15" x14ac:dyDescent="0.2">
      <c r="B23" s="128"/>
      <c r="C23" s="129" t="s">
        <v>112</v>
      </c>
      <c r="D23" s="2"/>
      <c r="F23" s="25" t="s">
        <v>14</v>
      </c>
      <c r="K23" s="25" t="s">
        <v>14</v>
      </c>
    </row>
  </sheetData>
  <mergeCells count="17">
    <mergeCell ref="Q6:Q7"/>
    <mergeCell ref="E18:F18"/>
    <mergeCell ref="G18:H18"/>
    <mergeCell ref="A19:A20"/>
    <mergeCell ref="C19:C20"/>
    <mergeCell ref="D19:D20"/>
    <mergeCell ref="E19:F20"/>
    <mergeCell ref="G19:H20"/>
    <mergeCell ref="J19:N20"/>
    <mergeCell ref="O19:O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028C9-9A53-ED4D-8BC0-C6539E0AB7B5}">
  <dimension ref="A1:P55"/>
  <sheetViews>
    <sheetView zoomScale="120" zoomScaleNormal="120" workbookViewId="0">
      <pane xSplit="1" ySplit="5" topLeftCell="D6" activePane="bottomRight" state="frozen"/>
      <selection pane="topRight" activeCell="D1" sqref="D1"/>
      <selection pane="bottomLeft" activeCell="A6" sqref="A6"/>
      <selection pane="bottomRight" activeCell="Q19" sqref="Q19"/>
    </sheetView>
  </sheetViews>
  <sheetFormatPr baseColWidth="10" defaultRowHeight="16" x14ac:dyDescent="0.2"/>
  <cols>
    <col min="1" max="4" width="10.83203125" style="25"/>
    <col min="5" max="5" width="4.1640625" style="25" customWidth="1"/>
    <col min="6" max="6" width="8.5" style="25" customWidth="1"/>
    <col min="7" max="7" width="4.5" style="25" customWidth="1"/>
    <col min="8" max="8" width="7.6640625" style="25" customWidth="1"/>
    <col min="9" max="9" width="5.6640625" style="25" customWidth="1"/>
    <col min="10" max="10" width="15.6640625" style="25" customWidth="1"/>
    <col min="11" max="12" width="10.83203125" style="25"/>
    <col min="13" max="13" width="10.33203125" style="25" customWidth="1"/>
    <col min="14" max="14" width="10.83203125" style="25"/>
    <col min="15" max="15" width="15.5" style="25" customWidth="1"/>
    <col min="16" max="16384" width="10.83203125" style="25"/>
  </cols>
  <sheetData>
    <row r="1" spans="1:16" s="151" customFormat="1" ht="21" x14ac:dyDescent="0.2">
      <c r="A1" s="145" t="s">
        <v>92</v>
      </c>
      <c r="B1" s="146">
        <v>0.20549999999999999</v>
      </c>
      <c r="C1" s="147"/>
      <c r="D1" s="148" t="s">
        <v>94</v>
      </c>
      <c r="E1" s="149"/>
      <c r="F1" s="150" t="s">
        <v>95</v>
      </c>
      <c r="I1" s="152"/>
    </row>
    <row r="2" spans="1:16" ht="22" thickBot="1" x14ac:dyDescent="0.25">
      <c r="B2" s="352" t="s">
        <v>27</v>
      </c>
      <c r="C2" s="353"/>
      <c r="I2" s="9"/>
    </row>
    <row r="3" spans="1:16" s="3" customFormat="1" ht="32" customHeight="1" x14ac:dyDescent="0.2">
      <c r="A3" s="13" t="s">
        <v>0</v>
      </c>
      <c r="B3" s="37" t="s">
        <v>28</v>
      </c>
      <c r="C3" s="37" t="str">
        <f>A1</f>
        <v>ITALY</v>
      </c>
      <c r="D3" s="13" t="s">
        <v>2</v>
      </c>
      <c r="E3" s="354" t="s">
        <v>3</v>
      </c>
      <c r="F3" s="355"/>
      <c r="G3" s="354" t="s">
        <v>9</v>
      </c>
      <c r="H3" s="355"/>
      <c r="I3" s="354" t="s">
        <v>82</v>
      </c>
      <c r="J3" s="396"/>
      <c r="K3" s="19" t="s">
        <v>26</v>
      </c>
      <c r="L3" s="31" t="s">
        <v>8</v>
      </c>
      <c r="M3" s="19" t="s">
        <v>24</v>
      </c>
      <c r="N3" s="19" t="s">
        <v>25</v>
      </c>
      <c r="O3" s="153" t="s">
        <v>12</v>
      </c>
    </row>
    <row r="4" spans="1:16" s="3" customFormat="1" ht="17" x14ac:dyDescent="0.2">
      <c r="A4" s="14"/>
      <c r="B4" s="14"/>
      <c r="C4" s="120">
        <f>B1</f>
        <v>0.20549999999999999</v>
      </c>
      <c r="D4" s="14"/>
      <c r="E4" s="15"/>
      <c r="F4" s="16"/>
      <c r="G4" s="135" t="s">
        <v>10</v>
      </c>
      <c r="H4" s="135" t="s">
        <v>11</v>
      </c>
      <c r="I4" s="19" t="s">
        <v>10</v>
      </c>
      <c r="J4" s="16"/>
      <c r="K4" s="19"/>
      <c r="L4" s="33"/>
      <c r="M4" s="19"/>
      <c r="N4" s="19"/>
      <c r="O4" s="19"/>
    </row>
    <row r="5" spans="1:16" s="3" customFormat="1" ht="18" customHeight="1" thickBot="1" x14ac:dyDescent="0.25">
      <c r="A5" s="4"/>
      <c r="B5" s="4" t="s">
        <v>1</v>
      </c>
      <c r="C5" s="121" t="s">
        <v>1</v>
      </c>
      <c r="D5" s="4" t="s">
        <v>1</v>
      </c>
      <c r="E5" s="357" t="s">
        <v>4</v>
      </c>
      <c r="F5" s="358"/>
      <c r="G5" s="359" t="s">
        <v>4</v>
      </c>
      <c r="H5" s="360"/>
      <c r="I5" s="394" t="s">
        <v>4</v>
      </c>
      <c r="J5" s="395"/>
      <c r="K5" s="20" t="s">
        <v>4</v>
      </c>
      <c r="L5" s="32" t="s">
        <v>4</v>
      </c>
      <c r="M5" s="32" t="s">
        <v>4</v>
      </c>
      <c r="N5" s="32" t="s">
        <v>4</v>
      </c>
      <c r="O5" s="32" t="s">
        <v>4</v>
      </c>
    </row>
    <row r="6" spans="1:16" s="3" customFormat="1" ht="18" thickTop="1" thickBot="1" x14ac:dyDescent="0.25">
      <c r="A6" s="113">
        <v>2021</v>
      </c>
      <c r="B6" s="113">
        <v>2411.1</v>
      </c>
      <c r="C6" s="114">
        <f>B6*$C$4</f>
        <v>495.48104999999993</v>
      </c>
      <c r="D6" s="115"/>
      <c r="E6" s="116">
        <v>0</v>
      </c>
      <c r="F6" s="114">
        <f>1214.5/7*E6</f>
        <v>0</v>
      </c>
      <c r="G6" s="113">
        <v>2</v>
      </c>
      <c r="H6" s="114">
        <f>2*110</f>
        <v>220</v>
      </c>
      <c r="I6" s="325">
        <v>27</v>
      </c>
      <c r="J6" s="325">
        <f>1.89*(16*3+4*(I6-16/4*3-4))+17.85</f>
        <v>191.73</v>
      </c>
      <c r="K6" s="114"/>
      <c r="L6" s="325">
        <f>28.87+4.65+11.983+13.485+60</f>
        <v>118.988</v>
      </c>
      <c r="M6" s="114"/>
      <c r="N6" s="114"/>
      <c r="O6" s="114">
        <f>F6+H6+J6+K6+L6+M6+N6</f>
        <v>530.71800000000007</v>
      </c>
      <c r="P6" s="398">
        <f>44.26+526/1.22-(101-95.5)+60+13.485+13.0515/1.22</f>
        <v>554.09049180327872</v>
      </c>
    </row>
    <row r="7" spans="1:16" s="3" customFormat="1" ht="17" thickBot="1" x14ac:dyDescent="0.25">
      <c r="A7" s="109">
        <v>2022</v>
      </c>
      <c r="B7" s="109">
        <v>2218</v>
      </c>
      <c r="C7" s="110">
        <f t="shared" ref="C7:C16" si="0">B7*$C$4</f>
        <v>455.79899999999998</v>
      </c>
      <c r="D7" s="111"/>
      <c r="E7" s="112">
        <v>2</v>
      </c>
      <c r="F7" s="110">
        <f>1357.7/8*E7</f>
        <v>339.42500000000001</v>
      </c>
      <c r="G7" s="109">
        <v>0</v>
      </c>
      <c r="H7" s="110">
        <f>228.5/2*G7</f>
        <v>0</v>
      </c>
      <c r="I7" s="110">
        <v>15</v>
      </c>
      <c r="J7" s="110">
        <f>345.8/K28*0.434*I7</f>
        <v>112.55789999999999</v>
      </c>
      <c r="K7" s="110"/>
      <c r="L7" s="111"/>
      <c r="M7" s="110"/>
      <c r="N7" s="110"/>
      <c r="O7" s="110">
        <f t="shared" ref="O7:O16" si="1">F7+H7+J7+K7+L7+M7+N7</f>
        <v>451.98289999999997</v>
      </c>
    </row>
    <row r="8" spans="1:16" s="3" customFormat="1" ht="17" thickBot="1" x14ac:dyDescent="0.25">
      <c r="A8" s="113">
        <v>2023</v>
      </c>
      <c r="B8" s="113">
        <v>2260.1</v>
      </c>
      <c r="C8" s="114">
        <f t="shared" si="0"/>
        <v>464.45054999999996</v>
      </c>
      <c r="D8" s="115"/>
      <c r="E8" s="116">
        <v>2</v>
      </c>
      <c r="F8" s="114">
        <f>1378.1/8*E8</f>
        <v>344.52499999999998</v>
      </c>
      <c r="G8" s="113">
        <v>0</v>
      </c>
      <c r="H8" s="114">
        <f>338.7/3*G8</f>
        <v>0</v>
      </c>
      <c r="I8" s="114">
        <v>16</v>
      </c>
      <c r="J8" s="114">
        <f>438.8/J29*0.434*I8</f>
        <v>121.88108799999999</v>
      </c>
      <c r="K8" s="114"/>
      <c r="L8" s="113"/>
      <c r="M8" s="114"/>
      <c r="N8" s="114"/>
      <c r="O8" s="114">
        <f t="shared" si="1"/>
        <v>466.40608799999995</v>
      </c>
    </row>
    <row r="9" spans="1:16" s="3" customFormat="1" ht="17" thickBot="1" x14ac:dyDescent="0.25">
      <c r="A9" s="109">
        <v>2024</v>
      </c>
      <c r="B9" s="109">
        <v>2281.5</v>
      </c>
      <c r="C9" s="110">
        <f t="shared" si="0"/>
        <v>468.84824999999995</v>
      </c>
      <c r="D9" s="111"/>
      <c r="E9" s="112">
        <v>2</v>
      </c>
      <c r="F9" s="110">
        <f>1398.7/8*E9</f>
        <v>349.67500000000001</v>
      </c>
      <c r="G9" s="109">
        <v>0</v>
      </c>
      <c r="H9" s="110">
        <f>235.4/2*G9</f>
        <v>0</v>
      </c>
      <c r="I9" s="110">
        <v>15</v>
      </c>
      <c r="J9" s="110">
        <f>54.3/K31*0.434*I9</f>
        <v>117.83099999999997</v>
      </c>
      <c r="K9" s="110"/>
      <c r="L9" s="111"/>
      <c r="M9" s="110"/>
      <c r="N9" s="110"/>
      <c r="O9" s="110">
        <f t="shared" si="1"/>
        <v>467.50599999999997</v>
      </c>
    </row>
    <row r="10" spans="1:16" s="3" customFormat="1" ht="17" thickBot="1" x14ac:dyDescent="0.25">
      <c r="A10" s="113">
        <v>2025</v>
      </c>
      <c r="B10" s="113">
        <v>1776.4</v>
      </c>
      <c r="C10" s="114">
        <f t="shared" si="0"/>
        <v>365.05020000000002</v>
      </c>
      <c r="D10" s="115"/>
      <c r="E10" s="116">
        <v>1</v>
      </c>
      <c r="F10" s="114">
        <f>1419.7/8*E10</f>
        <v>177.46250000000001</v>
      </c>
      <c r="G10" s="113">
        <v>1</v>
      </c>
      <c r="H10" s="114">
        <f>348.9/3*G10</f>
        <v>116.3</v>
      </c>
      <c r="I10" s="114">
        <v>9</v>
      </c>
      <c r="J10" s="114">
        <f>54.3/K31*0.434*I10</f>
        <v>70.698599999999985</v>
      </c>
      <c r="K10" s="114"/>
      <c r="L10" s="113"/>
      <c r="M10" s="114"/>
      <c r="N10" s="114"/>
      <c r="O10" s="114">
        <f t="shared" si="1"/>
        <v>364.46109999999999</v>
      </c>
    </row>
    <row r="11" spans="1:16" s="3" customFormat="1" ht="18" thickBot="1" x14ac:dyDescent="0.25">
      <c r="A11" s="117" t="s">
        <v>18</v>
      </c>
      <c r="B11" s="117">
        <f>SUM(B6:B10)</f>
        <v>10947.1</v>
      </c>
      <c r="C11" s="118">
        <f>SUM(C6:C10)</f>
        <v>2249.62905</v>
      </c>
      <c r="D11" s="118">
        <f t="shared" ref="D11:O11" si="2">SUM(D6:D10)</f>
        <v>0</v>
      </c>
      <c r="E11" s="118">
        <f t="shared" si="2"/>
        <v>7</v>
      </c>
      <c r="F11" s="118">
        <f t="shared" si="2"/>
        <v>1211.0875000000001</v>
      </c>
      <c r="G11" s="118">
        <f t="shared" si="2"/>
        <v>3</v>
      </c>
      <c r="H11" s="118">
        <f t="shared" si="2"/>
        <v>336.3</v>
      </c>
      <c r="I11" s="118">
        <f t="shared" si="2"/>
        <v>82</v>
      </c>
      <c r="J11" s="118">
        <f t="shared" si="2"/>
        <v>614.69858799999986</v>
      </c>
      <c r="K11" s="118">
        <f t="shared" si="2"/>
        <v>0</v>
      </c>
      <c r="L11" s="118">
        <f t="shared" si="2"/>
        <v>118.988</v>
      </c>
      <c r="M11" s="118">
        <f t="shared" si="2"/>
        <v>0</v>
      </c>
      <c r="N11" s="118">
        <f t="shared" si="2"/>
        <v>0</v>
      </c>
      <c r="O11" s="127">
        <f t="shared" si="2"/>
        <v>2281.0740879999998</v>
      </c>
    </row>
    <row r="12" spans="1:16" s="3" customFormat="1" ht="17" thickBot="1" x14ac:dyDescent="0.25">
      <c r="A12" s="8">
        <v>2026</v>
      </c>
      <c r="B12" s="8">
        <v>2271.1999999999998</v>
      </c>
      <c r="C12" s="11">
        <f t="shared" si="0"/>
        <v>466.73159999999996</v>
      </c>
      <c r="D12" s="5"/>
      <c r="E12" s="18">
        <v>2</v>
      </c>
      <c r="F12" s="12">
        <f>1441/8*E12</f>
        <v>360.25</v>
      </c>
      <c r="G12" s="8">
        <v>0</v>
      </c>
      <c r="H12" s="12">
        <f>242.5/2*G12</f>
        <v>0</v>
      </c>
      <c r="I12" s="12">
        <v>13</v>
      </c>
      <c r="J12" s="22">
        <f>275.7/K32*0.434*I12</f>
        <v>103.69996</v>
      </c>
      <c r="K12" s="12"/>
      <c r="L12" s="5"/>
      <c r="M12" s="12"/>
      <c r="N12" s="12"/>
      <c r="O12" s="11">
        <f t="shared" si="1"/>
        <v>463.94996000000003</v>
      </c>
    </row>
    <row r="13" spans="1:16" s="3" customFormat="1" ht="17" thickBot="1" x14ac:dyDescent="0.25">
      <c r="A13" s="6">
        <v>2027</v>
      </c>
      <c r="B13" s="6">
        <v>2227.9</v>
      </c>
      <c r="C13" s="11">
        <f t="shared" si="0"/>
        <v>457.83344999999997</v>
      </c>
      <c r="D13" s="7"/>
      <c r="E13" s="17">
        <v>2</v>
      </c>
      <c r="F13" s="11">
        <f>1327.9/7*E13</f>
        <v>379.40000000000003</v>
      </c>
      <c r="G13" s="6">
        <v>1</v>
      </c>
      <c r="H13" s="11">
        <f>359.5/3*G13</f>
        <v>119.83333333333333</v>
      </c>
      <c r="I13" s="11"/>
      <c r="J13" s="11"/>
      <c r="K13" s="11"/>
      <c r="L13" s="7"/>
      <c r="M13" s="11"/>
      <c r="N13" s="11"/>
      <c r="O13" s="11">
        <f t="shared" si="1"/>
        <v>499.23333333333335</v>
      </c>
    </row>
    <row r="14" spans="1:16" s="3" customFormat="1" ht="17" thickBot="1" x14ac:dyDescent="0.25">
      <c r="A14" s="8">
        <v>2028</v>
      </c>
      <c r="B14" s="8">
        <v>1970.5</v>
      </c>
      <c r="C14" s="11">
        <f t="shared" si="0"/>
        <v>404.93774999999999</v>
      </c>
      <c r="D14" s="5"/>
      <c r="E14" s="18">
        <v>2</v>
      </c>
      <c r="F14" s="12">
        <f>1540.4/8*E14</f>
        <v>385.1</v>
      </c>
      <c r="G14" s="8">
        <v>0</v>
      </c>
      <c r="H14" s="12">
        <f>249.8/2*G14</f>
        <v>0</v>
      </c>
      <c r="I14" s="12">
        <v>11</v>
      </c>
      <c r="J14" s="22">
        <f>380/K33*0.434*I14</f>
        <v>90.706000000000003</v>
      </c>
      <c r="K14" s="12"/>
      <c r="L14" s="5"/>
      <c r="M14" s="12"/>
      <c r="N14" s="12"/>
      <c r="O14" s="11">
        <f t="shared" si="1"/>
        <v>475.80600000000004</v>
      </c>
    </row>
    <row r="15" spans="1:16" s="3" customFormat="1" ht="17" thickBot="1" x14ac:dyDescent="0.25">
      <c r="A15" s="6">
        <v>2029</v>
      </c>
      <c r="B15" s="6">
        <v>2390.8000000000002</v>
      </c>
      <c r="C15" s="11">
        <f t="shared" si="0"/>
        <v>491.30939999999998</v>
      </c>
      <c r="D15" s="7"/>
      <c r="E15" s="17">
        <v>1</v>
      </c>
      <c r="F15" s="11">
        <f>1563.5/8*E15</f>
        <v>195.4375</v>
      </c>
      <c r="G15" s="6">
        <v>1</v>
      </c>
      <c r="H15" s="11">
        <f>249.8/2*G15</f>
        <v>124.9</v>
      </c>
      <c r="I15" s="11">
        <v>15</v>
      </c>
      <c r="J15" s="21">
        <f>384/K35*0.434*I15</f>
        <v>124.99199999999999</v>
      </c>
      <c r="K15" s="21"/>
      <c r="L15" s="6"/>
      <c r="M15" s="21"/>
      <c r="N15" s="21"/>
      <c r="O15" s="11">
        <f t="shared" si="1"/>
        <v>445.32949999999994</v>
      </c>
    </row>
    <row r="16" spans="1:16" s="3" customFormat="1" ht="17" thickBot="1" x14ac:dyDescent="0.25">
      <c r="A16" s="8">
        <v>2030</v>
      </c>
      <c r="B16" s="8">
        <v>2087.6999999999998</v>
      </c>
      <c r="C16" s="11">
        <f t="shared" si="0"/>
        <v>429.02234999999996</v>
      </c>
      <c r="D16" s="5"/>
      <c r="E16" s="18">
        <v>2</v>
      </c>
      <c r="F16" s="12">
        <f>1587/8*E16</f>
        <v>396.75</v>
      </c>
      <c r="G16" s="8">
        <v>0</v>
      </c>
      <c r="H16" s="12">
        <f>257.4/2*G16</f>
        <v>0</v>
      </c>
      <c r="I16" s="12"/>
      <c r="J16" s="22"/>
      <c r="K16" s="22"/>
      <c r="L16" s="5"/>
      <c r="M16" s="22"/>
      <c r="N16" s="22"/>
      <c r="O16" s="11">
        <f t="shared" si="1"/>
        <v>396.75</v>
      </c>
    </row>
    <row r="17" spans="1:15" s="3" customFormat="1" ht="18" thickBot="1" x14ac:dyDescent="0.25">
      <c r="A17" s="117" t="s">
        <v>18</v>
      </c>
      <c r="B17" s="117">
        <f>SUM(B12:B16)</f>
        <v>10948.100000000002</v>
      </c>
      <c r="C17" s="118">
        <f>SUM(C12:C16)</f>
        <v>2249.8345499999996</v>
      </c>
      <c r="D17" s="118">
        <f t="shared" ref="D17:O17" si="3">SUM(D12:D16)</f>
        <v>0</v>
      </c>
      <c r="E17" s="118">
        <f t="shared" si="3"/>
        <v>9</v>
      </c>
      <c r="F17" s="118">
        <f t="shared" si="3"/>
        <v>1716.9375</v>
      </c>
      <c r="G17" s="118">
        <f t="shared" si="3"/>
        <v>2</v>
      </c>
      <c r="H17" s="118">
        <f t="shared" si="3"/>
        <v>244.73333333333335</v>
      </c>
      <c r="I17" s="118">
        <f t="shared" si="3"/>
        <v>39</v>
      </c>
      <c r="J17" s="118">
        <f t="shared" si="3"/>
        <v>319.39796000000001</v>
      </c>
      <c r="K17" s="118">
        <f t="shared" si="3"/>
        <v>0</v>
      </c>
      <c r="L17" s="118">
        <f t="shared" si="3"/>
        <v>0</v>
      </c>
      <c r="M17" s="118">
        <f t="shared" si="3"/>
        <v>0</v>
      </c>
      <c r="N17" s="118">
        <f t="shared" si="3"/>
        <v>0</v>
      </c>
      <c r="O17" s="127">
        <f t="shared" si="3"/>
        <v>2281.0687933333334</v>
      </c>
    </row>
    <row r="18" spans="1:15" s="3" customFormat="1" ht="18" thickBot="1" x14ac:dyDescent="0.25">
      <c r="A18" s="117" t="s">
        <v>5</v>
      </c>
      <c r="B18" s="117">
        <f>B11+B17</f>
        <v>21895.200000000004</v>
      </c>
      <c r="C18" s="119">
        <f t="shared" ref="C18:O18" si="4">C11+C17</f>
        <v>4499.4635999999991</v>
      </c>
      <c r="D18" s="117">
        <f t="shared" si="4"/>
        <v>0</v>
      </c>
      <c r="E18" s="117">
        <f t="shared" si="4"/>
        <v>16</v>
      </c>
      <c r="F18" s="117">
        <f t="shared" si="4"/>
        <v>2928.0250000000001</v>
      </c>
      <c r="G18" s="118">
        <f>G11+G17</f>
        <v>5</v>
      </c>
      <c r="H18" s="119">
        <f t="shared" si="4"/>
        <v>581.0333333333333</v>
      </c>
      <c r="I18" s="118">
        <f>I11+I17</f>
        <v>121</v>
      </c>
      <c r="J18" s="119">
        <f t="shared" si="4"/>
        <v>934.09654799999987</v>
      </c>
      <c r="K18" s="117">
        <f t="shared" si="4"/>
        <v>0</v>
      </c>
      <c r="L18" s="117">
        <f t="shared" si="4"/>
        <v>118.988</v>
      </c>
      <c r="M18" s="117">
        <f t="shared" si="4"/>
        <v>0</v>
      </c>
      <c r="N18" s="117">
        <f t="shared" si="4"/>
        <v>0</v>
      </c>
      <c r="O18" s="119">
        <f t="shared" si="4"/>
        <v>4562.1428813333332</v>
      </c>
    </row>
    <row r="19" spans="1:15" s="3" customFormat="1" ht="35" customHeight="1" thickBot="1" x14ac:dyDescent="0.25">
      <c r="A19" s="5"/>
      <c r="B19" s="5"/>
      <c r="C19" s="5" t="s">
        <v>14</v>
      </c>
      <c r="D19" s="5"/>
      <c r="E19" s="390" t="s">
        <v>23</v>
      </c>
      <c r="F19" s="391"/>
      <c r="G19" s="392" t="s">
        <v>6</v>
      </c>
      <c r="H19" s="393"/>
      <c r="I19" s="24"/>
      <c r="J19" s="8"/>
      <c r="K19" s="8"/>
      <c r="L19" s="5"/>
      <c r="M19" s="8"/>
      <c r="N19" s="8"/>
      <c r="O19" s="34"/>
    </row>
    <row r="20" spans="1:15" s="3" customFormat="1" ht="16" customHeight="1" x14ac:dyDescent="0.2">
      <c r="A20" s="368"/>
      <c r="B20" s="136"/>
      <c r="C20" s="370" t="s">
        <v>7</v>
      </c>
      <c r="D20" s="368"/>
      <c r="E20" s="372">
        <f>F18/O18</f>
        <v>0.64180914016972979</v>
      </c>
      <c r="F20" s="373"/>
      <c r="G20" s="376">
        <f>H18/O18</f>
        <v>0.12735974046554199</v>
      </c>
      <c r="H20" s="377"/>
      <c r="I20" s="133"/>
      <c r="J20" s="380">
        <f>(J18+L18)/O18</f>
        <v>0.23083111936472822</v>
      </c>
      <c r="K20" s="381"/>
      <c r="L20" s="381"/>
      <c r="M20" s="381"/>
      <c r="N20" s="373"/>
      <c r="O20" s="384">
        <f>O18/C18</f>
        <v>1.0139303896876362</v>
      </c>
    </row>
    <row r="21" spans="1:15" s="3" customFormat="1" ht="17" thickBot="1" x14ac:dyDescent="0.25">
      <c r="A21" s="369"/>
      <c r="B21" s="137"/>
      <c r="C21" s="371"/>
      <c r="D21" s="369"/>
      <c r="E21" s="374"/>
      <c r="F21" s="375"/>
      <c r="G21" s="378"/>
      <c r="H21" s="379"/>
      <c r="I21" s="134"/>
      <c r="J21" s="382"/>
      <c r="K21" s="383"/>
      <c r="L21" s="383"/>
      <c r="M21" s="383"/>
      <c r="N21" s="375"/>
      <c r="O21" s="385"/>
    </row>
    <row r="22" spans="1:15" x14ac:dyDescent="0.2">
      <c r="O22" s="23">
        <f>SUM(E20+G20+J20)</f>
        <v>1</v>
      </c>
    </row>
    <row r="23" spans="1:15" x14ac:dyDescent="0.2">
      <c r="B23" s="128" t="s">
        <v>75</v>
      </c>
      <c r="C23" s="129">
        <f>26*B1</f>
        <v>5.343</v>
      </c>
      <c r="J23" s="1"/>
      <c r="K23" s="1"/>
      <c r="M23" s="1"/>
      <c r="N23" s="1"/>
      <c r="O23" s="1">
        <f>O18-C18</f>
        <v>62.679281333334075</v>
      </c>
    </row>
    <row r="24" spans="1:15" x14ac:dyDescent="0.2">
      <c r="B24" s="128"/>
      <c r="C24" s="129" t="s">
        <v>76</v>
      </c>
      <c r="D24" s="2"/>
      <c r="F24" s="25" t="s">
        <v>14</v>
      </c>
      <c r="I24" s="25" t="s">
        <v>130</v>
      </c>
      <c r="K24" s="25" t="s">
        <v>14</v>
      </c>
      <c r="L24" s="25" t="s">
        <v>131</v>
      </c>
    </row>
    <row r="25" spans="1:15" ht="16" customHeight="1" x14ac:dyDescent="0.2">
      <c r="C25" s="2"/>
      <c r="D25" s="2"/>
      <c r="J25" s="386" t="s">
        <v>84</v>
      </c>
      <c r="K25" s="387"/>
      <c r="L25" s="388" t="s">
        <v>96</v>
      </c>
      <c r="M25" s="389"/>
    </row>
    <row r="26" spans="1:15" ht="50" customHeight="1" x14ac:dyDescent="0.2">
      <c r="H26" s="25" t="s">
        <v>14</v>
      </c>
      <c r="I26" s="26" t="s">
        <v>13</v>
      </c>
      <c r="J26" s="122" t="s">
        <v>81</v>
      </c>
      <c r="K26" s="122" t="s">
        <v>77</v>
      </c>
      <c r="L26" s="124" t="s">
        <v>80</v>
      </c>
      <c r="M26" s="125" t="s">
        <v>79</v>
      </c>
    </row>
    <row r="27" spans="1:15" x14ac:dyDescent="0.2">
      <c r="I27" s="27">
        <v>2021</v>
      </c>
      <c r="J27" s="27">
        <v>20</v>
      </c>
      <c r="K27" s="27"/>
      <c r="L27" s="126">
        <f>I6</f>
        <v>27</v>
      </c>
      <c r="M27" s="123">
        <v>2021</v>
      </c>
    </row>
    <row r="28" spans="1:15" x14ac:dyDescent="0.2">
      <c r="I28" s="27">
        <v>2022</v>
      </c>
      <c r="J28" s="27"/>
      <c r="K28" s="27">
        <v>20</v>
      </c>
      <c r="L28" s="126">
        <f t="shared" ref="L28:L31" si="5">I7</f>
        <v>15</v>
      </c>
      <c r="M28" s="123">
        <f>M27+1</f>
        <v>2022</v>
      </c>
    </row>
    <row r="29" spans="1:15" x14ac:dyDescent="0.2">
      <c r="I29" s="27">
        <v>2023</v>
      </c>
      <c r="J29" s="27">
        <v>25</v>
      </c>
      <c r="K29" s="27"/>
      <c r="L29" s="126">
        <f t="shared" si="5"/>
        <v>16</v>
      </c>
      <c r="M29" s="123">
        <f t="shared" ref="M29:M36" si="6">M28+1</f>
        <v>2023</v>
      </c>
    </row>
    <row r="30" spans="1:15" x14ac:dyDescent="0.2">
      <c r="I30" s="27">
        <v>2024</v>
      </c>
      <c r="J30" s="27"/>
      <c r="K30" s="27"/>
      <c r="L30" s="126">
        <f t="shared" si="5"/>
        <v>15</v>
      </c>
      <c r="M30" s="123">
        <f t="shared" si="6"/>
        <v>2024</v>
      </c>
      <c r="N30" s="25" t="s">
        <v>86</v>
      </c>
      <c r="O30" s="25" t="s">
        <v>87</v>
      </c>
    </row>
    <row r="31" spans="1:15" x14ac:dyDescent="0.2">
      <c r="I31" s="27">
        <v>2025</v>
      </c>
      <c r="J31" s="27"/>
      <c r="K31" s="27">
        <v>3</v>
      </c>
      <c r="L31" s="126">
        <f t="shared" si="5"/>
        <v>9</v>
      </c>
      <c r="M31" s="123">
        <f t="shared" si="6"/>
        <v>2025</v>
      </c>
      <c r="N31" s="1">
        <f>SUM(L27:L31)</f>
        <v>82</v>
      </c>
      <c r="O31" s="1">
        <f>N31-J37</f>
        <v>37</v>
      </c>
    </row>
    <row r="32" spans="1:15" x14ac:dyDescent="0.2">
      <c r="I32" s="27">
        <v>2026</v>
      </c>
      <c r="J32" s="27"/>
      <c r="K32" s="27">
        <v>15</v>
      </c>
      <c r="L32" s="126">
        <f>I12</f>
        <v>13</v>
      </c>
      <c r="M32" s="123">
        <f t="shared" si="6"/>
        <v>2026</v>
      </c>
    </row>
    <row r="33" spans="9:14" x14ac:dyDescent="0.2">
      <c r="I33" s="27">
        <v>2027</v>
      </c>
      <c r="J33" s="27"/>
      <c r="K33" s="27">
        <v>20</v>
      </c>
      <c r="L33" s="126">
        <f>I13</f>
        <v>0</v>
      </c>
      <c r="M33" s="123">
        <f t="shared" si="6"/>
        <v>2027</v>
      </c>
    </row>
    <row r="34" spans="9:14" x14ac:dyDescent="0.2">
      <c r="I34" s="27">
        <v>2028</v>
      </c>
      <c r="J34" s="27"/>
      <c r="K34" s="27"/>
      <c r="L34" s="126">
        <f>I14</f>
        <v>11</v>
      </c>
      <c r="M34" s="123">
        <f t="shared" si="6"/>
        <v>2028</v>
      </c>
    </row>
    <row r="35" spans="9:14" x14ac:dyDescent="0.2">
      <c r="I35" s="27">
        <v>2029</v>
      </c>
      <c r="J35" s="27"/>
      <c r="K35" s="27">
        <v>20</v>
      </c>
      <c r="L35" s="126">
        <f>I15</f>
        <v>15</v>
      </c>
      <c r="M35" s="123">
        <f t="shared" si="6"/>
        <v>2029</v>
      </c>
      <c r="N35" s="25" t="s">
        <v>87</v>
      </c>
    </row>
    <row r="36" spans="9:14" x14ac:dyDescent="0.2">
      <c r="I36" s="27">
        <v>2030</v>
      </c>
      <c r="J36" s="27"/>
      <c r="K36" s="27"/>
      <c r="L36" s="126">
        <f>I16</f>
        <v>0</v>
      </c>
      <c r="M36" s="123">
        <f t="shared" si="6"/>
        <v>2030</v>
      </c>
      <c r="N36" s="1">
        <f>SUM(L32:L36)</f>
        <v>39</v>
      </c>
    </row>
    <row r="37" spans="9:14" x14ac:dyDescent="0.2">
      <c r="I37" s="25" t="s">
        <v>78</v>
      </c>
      <c r="J37" s="25">
        <f>SUM(J27:J36)</f>
        <v>45</v>
      </c>
      <c r="K37" s="25">
        <f>SUM(K27:K36)</f>
        <v>78</v>
      </c>
      <c r="L37" s="1">
        <f>SUM(L27:L36)</f>
        <v>121</v>
      </c>
      <c r="M37" s="25" t="s">
        <v>14</v>
      </c>
    </row>
    <row r="38" spans="9:14" x14ac:dyDescent="0.2">
      <c r="K38" s="25">
        <f>SUM(J37:K37)</f>
        <v>123</v>
      </c>
      <c r="L38" s="25" t="s">
        <v>14</v>
      </c>
    </row>
    <row r="39" spans="9:14" x14ac:dyDescent="0.2">
      <c r="J39" s="25" t="s">
        <v>14</v>
      </c>
    </row>
    <row r="45" spans="9:14" x14ac:dyDescent="0.2">
      <c r="L45" s="25" t="s">
        <v>14</v>
      </c>
    </row>
    <row r="55" spans="15:15" x14ac:dyDescent="0.2">
      <c r="O55" s="25" t="s">
        <v>14</v>
      </c>
    </row>
  </sheetData>
  <mergeCells count="18">
    <mergeCell ref="B2:C2"/>
    <mergeCell ref="O20:O21"/>
    <mergeCell ref="G3:H3"/>
    <mergeCell ref="G5:H5"/>
    <mergeCell ref="G19:H19"/>
    <mergeCell ref="I5:J5"/>
    <mergeCell ref="I3:J3"/>
    <mergeCell ref="G20:H21"/>
    <mergeCell ref="J20:N21"/>
    <mergeCell ref="E3:F3"/>
    <mergeCell ref="E5:F5"/>
    <mergeCell ref="E19:F19"/>
    <mergeCell ref="L25:M25"/>
    <mergeCell ref="A20:A21"/>
    <mergeCell ref="C20:C21"/>
    <mergeCell ref="D20:D21"/>
    <mergeCell ref="E20:F21"/>
    <mergeCell ref="J25:K2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MoU-Proj Def</vt:lpstr>
      <vt:lpstr>Summary</vt:lpstr>
      <vt:lpstr>estimation caps_cryos unit cost</vt:lpstr>
      <vt:lpstr>BULGARIA-Core 2021-2030</vt:lpstr>
      <vt:lpstr>FINLAND-Core 2021-2030</vt:lpstr>
      <vt:lpstr>FRANCE-Core 2021-2031</vt:lpstr>
      <vt:lpstr>GERMANY-Core 2021-2030</vt:lpstr>
      <vt:lpstr>HUNGARY-Core 2021-2030</vt:lpstr>
      <vt:lpstr>ITALY-Core 2021-2030</vt:lpstr>
      <vt:lpstr>POLAND-Core 2021-2030</vt:lpstr>
      <vt:lpstr>SPAIN-Core 2021-2030</vt:lpstr>
      <vt:lpstr>SWEDEN-Core 2021-2030</vt:lpstr>
      <vt:lpstr>TURKEY-Core 2021-2030</vt:lpstr>
      <vt:lpstr>UK-Core 2020-2030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Million</dc:creator>
  <cp:lastModifiedBy>Bénédicte Million</cp:lastModifiedBy>
  <dcterms:created xsi:type="dcterms:W3CDTF">2020-06-04T09:48:48Z</dcterms:created>
  <dcterms:modified xsi:type="dcterms:W3CDTF">2021-10-15T16:14:54Z</dcterms:modified>
</cp:coreProperties>
</file>