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lement\Desktop\AGATACampaign\PM-2021\"/>
    </mc:Choice>
  </mc:AlternateContent>
  <bookViews>
    <workbookView xWindow="5865" yWindow="0" windowWidth="25605" windowHeight="16065" activeTab="2"/>
  </bookViews>
  <sheets>
    <sheet name="MoU-Proj Def" sheetId="5" r:id="rId1"/>
    <sheet name="FRANCE" sheetId="1" r:id="rId2"/>
    <sheet name="GANIL" sheetId="3" r:id="rId3"/>
    <sheet name="IN2P3" sheetId="2" r:id="rId4"/>
    <sheet name="IRFU" sheetId="4" r:id="rId5"/>
  </sheets>
  <definedNames>
    <definedName name="taux">IN2P3!$B$1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2" i="4" l="1"/>
  <c r="B12" i="2"/>
  <c r="B12" i="3"/>
  <c r="B17" i="3" s="1"/>
  <c r="F12" i="3"/>
  <c r="L35" i="2"/>
  <c r="L35" i="1" s="1"/>
  <c r="L34" i="2"/>
  <c r="L34" i="1" s="1"/>
  <c r="L33" i="2"/>
  <c r="L32" i="2"/>
  <c r="L31" i="2"/>
  <c r="N35" i="2" s="1"/>
  <c r="L30" i="2"/>
  <c r="L30" i="1" s="1"/>
  <c r="L29" i="2"/>
  <c r="L28" i="2"/>
  <c r="L27" i="2"/>
  <c r="L27" i="1" s="1"/>
  <c r="L26" i="2"/>
  <c r="L26" i="1" s="1"/>
  <c r="N30" i="1" s="1"/>
  <c r="F12" i="4"/>
  <c r="E12" i="4"/>
  <c r="D12" i="4"/>
  <c r="N12" i="2"/>
  <c r="M12" i="2"/>
  <c r="L12" i="2"/>
  <c r="K12" i="2"/>
  <c r="J12" i="2"/>
  <c r="I12" i="2"/>
  <c r="H12" i="2"/>
  <c r="G12" i="2"/>
  <c r="E12" i="2"/>
  <c r="D12" i="2"/>
  <c r="N12" i="3"/>
  <c r="M12" i="3"/>
  <c r="L12" i="3"/>
  <c r="K12" i="3"/>
  <c r="J12" i="3"/>
  <c r="I12" i="3"/>
  <c r="G12" i="3"/>
  <c r="E12" i="3"/>
  <c r="F10" i="1"/>
  <c r="O10" i="1" s="1"/>
  <c r="H10" i="1"/>
  <c r="F11" i="1"/>
  <c r="O11" i="1" s="1"/>
  <c r="F7" i="1"/>
  <c r="L7" i="1"/>
  <c r="K8" i="1"/>
  <c r="L9" i="1"/>
  <c r="K9" i="1"/>
  <c r="F14" i="1"/>
  <c r="O14" i="1" s="1"/>
  <c r="K14" i="1"/>
  <c r="F16" i="1"/>
  <c r="F15" i="1"/>
  <c r="K15" i="1"/>
  <c r="J15" i="1"/>
  <c r="O15" i="1"/>
  <c r="K13" i="1"/>
  <c r="J13" i="1"/>
  <c r="L33" i="1"/>
  <c r="L32" i="1"/>
  <c r="L29" i="1"/>
  <c r="L28" i="1"/>
  <c r="B1" i="4"/>
  <c r="C4" i="4" s="1"/>
  <c r="O13" i="4"/>
  <c r="H7" i="1"/>
  <c r="O7" i="1" s="1"/>
  <c r="H9" i="1"/>
  <c r="H11" i="1"/>
  <c r="H14" i="1"/>
  <c r="H15" i="1"/>
  <c r="H16" i="1"/>
  <c r="J7" i="1"/>
  <c r="K7" i="1"/>
  <c r="M7" i="1"/>
  <c r="N7" i="1"/>
  <c r="J8" i="1"/>
  <c r="L8" i="1"/>
  <c r="M8" i="1"/>
  <c r="N8" i="1"/>
  <c r="J9" i="1"/>
  <c r="M9" i="1"/>
  <c r="N9" i="1"/>
  <c r="J10" i="1"/>
  <c r="K10" i="1"/>
  <c r="L10" i="1"/>
  <c r="M10" i="1"/>
  <c r="N10" i="1"/>
  <c r="J11" i="1"/>
  <c r="K11" i="1"/>
  <c r="L11" i="1"/>
  <c r="M11" i="1"/>
  <c r="N11" i="1"/>
  <c r="F13" i="1"/>
  <c r="L13" i="1"/>
  <c r="M13" i="1"/>
  <c r="N13" i="1"/>
  <c r="J14" i="1"/>
  <c r="L14" i="1"/>
  <c r="M14" i="1"/>
  <c r="N14" i="1"/>
  <c r="L15" i="1"/>
  <c r="M15" i="1"/>
  <c r="N15" i="1"/>
  <c r="J16" i="1"/>
  <c r="O16" i="1" s="1"/>
  <c r="K16" i="1"/>
  <c r="L16" i="1"/>
  <c r="M16" i="1"/>
  <c r="N16" i="1"/>
  <c r="C4" i="1"/>
  <c r="C6" i="1"/>
  <c r="O7" i="2"/>
  <c r="O10" i="2"/>
  <c r="O11" i="2"/>
  <c r="O14" i="2"/>
  <c r="O16" i="2"/>
  <c r="O13" i="2"/>
  <c r="O15" i="2"/>
  <c r="E6" i="1"/>
  <c r="F6" i="1"/>
  <c r="G6" i="1"/>
  <c r="H6" i="1"/>
  <c r="I6" i="1"/>
  <c r="J6" i="1"/>
  <c r="J12" i="1" s="1"/>
  <c r="J17" i="1" s="1"/>
  <c r="K6" i="1"/>
  <c r="O6" i="1" s="1"/>
  <c r="L6" i="1"/>
  <c r="L12" i="1" s="1"/>
  <c r="L17" i="1" s="1"/>
  <c r="M6" i="1"/>
  <c r="M12" i="1" s="1"/>
  <c r="M17" i="1" s="1"/>
  <c r="N6" i="1"/>
  <c r="N12" i="1" s="1"/>
  <c r="N17" i="1" s="1"/>
  <c r="O6" i="3"/>
  <c r="B1" i="3"/>
  <c r="C4" i="3" s="1"/>
  <c r="O6" i="2"/>
  <c r="O6" i="4"/>
  <c r="H13" i="3"/>
  <c r="H13" i="1" s="1"/>
  <c r="H8" i="3"/>
  <c r="H12" i="3" s="1"/>
  <c r="F8" i="2"/>
  <c r="F12" i="2" s="1"/>
  <c r="F17" i="2" s="1"/>
  <c r="F9" i="2"/>
  <c r="F9" i="1" s="1"/>
  <c r="O9" i="1" s="1"/>
  <c r="L75" i="5"/>
  <c r="J15" i="5"/>
  <c r="J75" i="5" s="1"/>
  <c r="I15" i="5"/>
  <c r="I75" i="5"/>
  <c r="E75" i="5"/>
  <c r="D75" i="5"/>
  <c r="C75" i="5"/>
  <c r="L74" i="5"/>
  <c r="K74" i="5"/>
  <c r="J74" i="5"/>
  <c r="I74" i="5"/>
  <c r="H74" i="5"/>
  <c r="G74" i="5"/>
  <c r="F74" i="5"/>
  <c r="E74" i="5"/>
  <c r="D74" i="5"/>
  <c r="M74" i="5" s="1"/>
  <c r="C74" i="5"/>
  <c r="L73" i="5"/>
  <c r="K73" i="5"/>
  <c r="J73" i="5"/>
  <c r="I73" i="5"/>
  <c r="H73" i="5"/>
  <c r="G73" i="5"/>
  <c r="F73" i="5"/>
  <c r="E73" i="5"/>
  <c r="D73" i="5"/>
  <c r="C73" i="5"/>
  <c r="M73" i="5" s="1"/>
  <c r="L72" i="5"/>
  <c r="K72" i="5"/>
  <c r="J72" i="5"/>
  <c r="I72" i="5"/>
  <c r="H72" i="5"/>
  <c r="G72" i="5"/>
  <c r="F72" i="5"/>
  <c r="E72" i="5"/>
  <c r="D72" i="5"/>
  <c r="C72" i="5"/>
  <c r="M72" i="5"/>
  <c r="L11" i="5"/>
  <c r="L71" i="5" s="1"/>
  <c r="F71" i="5"/>
  <c r="E71" i="5"/>
  <c r="C71" i="5"/>
  <c r="L70" i="5"/>
  <c r="K70" i="5"/>
  <c r="J70" i="5"/>
  <c r="I70" i="5"/>
  <c r="H70" i="5"/>
  <c r="G70" i="5"/>
  <c r="F70" i="5"/>
  <c r="E70" i="5"/>
  <c r="C70" i="5"/>
  <c r="D70" i="5"/>
  <c r="M70" i="5"/>
  <c r="L69" i="5"/>
  <c r="K69" i="5"/>
  <c r="J69" i="5"/>
  <c r="I69" i="5"/>
  <c r="G69" i="5"/>
  <c r="F69" i="5"/>
  <c r="D69" i="5"/>
  <c r="C9" i="5"/>
  <c r="L68" i="5"/>
  <c r="K68" i="5"/>
  <c r="J68" i="5"/>
  <c r="I68" i="5"/>
  <c r="F68" i="5"/>
  <c r="E68" i="5"/>
  <c r="C68" i="5"/>
  <c r="L66" i="5"/>
  <c r="K66" i="5"/>
  <c r="J66" i="5"/>
  <c r="I66" i="5"/>
  <c r="H66" i="5"/>
  <c r="G66" i="5"/>
  <c r="F66" i="5"/>
  <c r="E66" i="5"/>
  <c r="D66" i="5"/>
  <c r="C66" i="5"/>
  <c r="L65" i="5"/>
  <c r="K65" i="5"/>
  <c r="K67" i="5" s="1"/>
  <c r="J65" i="5"/>
  <c r="I65" i="5"/>
  <c r="H65" i="5"/>
  <c r="G65" i="5"/>
  <c r="G67" i="5" s="1"/>
  <c r="F65" i="5"/>
  <c r="E65" i="5"/>
  <c r="D65" i="5"/>
  <c r="C65" i="5"/>
  <c r="L64" i="5"/>
  <c r="K64" i="5"/>
  <c r="J64" i="5"/>
  <c r="I64" i="5"/>
  <c r="H64" i="5"/>
  <c r="G64" i="5"/>
  <c r="F64" i="5"/>
  <c r="E64" i="5"/>
  <c r="D64" i="5"/>
  <c r="C64" i="5"/>
  <c r="L63" i="5"/>
  <c r="K63" i="5"/>
  <c r="J63" i="5"/>
  <c r="I63" i="5"/>
  <c r="H63" i="5"/>
  <c r="G63" i="5"/>
  <c r="F63" i="5"/>
  <c r="E63" i="5"/>
  <c r="D63" i="5"/>
  <c r="C63" i="5"/>
  <c r="L62" i="5"/>
  <c r="K62" i="5"/>
  <c r="J62" i="5"/>
  <c r="I62" i="5"/>
  <c r="H62" i="5"/>
  <c r="G62" i="5"/>
  <c r="F62" i="5"/>
  <c r="E62" i="5"/>
  <c r="D62" i="5"/>
  <c r="C62" i="5"/>
  <c r="L53" i="5"/>
  <c r="G15" i="5"/>
  <c r="F15" i="5"/>
  <c r="F53" i="5"/>
  <c r="E53" i="5"/>
  <c r="D53" i="5"/>
  <c r="C53" i="5"/>
  <c r="L52" i="5"/>
  <c r="K52" i="5"/>
  <c r="J52" i="5"/>
  <c r="I52" i="5"/>
  <c r="H52" i="5"/>
  <c r="G52" i="5"/>
  <c r="F52" i="5"/>
  <c r="E52" i="5"/>
  <c r="D52" i="5"/>
  <c r="C52" i="5"/>
  <c r="M52" i="5" s="1"/>
  <c r="L51" i="5"/>
  <c r="K51" i="5"/>
  <c r="J51" i="5"/>
  <c r="I51" i="5"/>
  <c r="H51" i="5"/>
  <c r="G51" i="5"/>
  <c r="F51" i="5"/>
  <c r="E51" i="5"/>
  <c r="D51" i="5"/>
  <c r="C51" i="5"/>
  <c r="M51" i="5"/>
  <c r="L50" i="5"/>
  <c r="K50" i="5"/>
  <c r="J50" i="5"/>
  <c r="I50" i="5"/>
  <c r="H50" i="5"/>
  <c r="G50" i="5"/>
  <c r="F50" i="5"/>
  <c r="E50" i="5"/>
  <c r="M50" i="5" s="1"/>
  <c r="D50" i="5"/>
  <c r="C50" i="5"/>
  <c r="K11" i="5"/>
  <c r="J11" i="5"/>
  <c r="J49" i="5"/>
  <c r="I11" i="5"/>
  <c r="F49" i="5"/>
  <c r="E49" i="5"/>
  <c r="C49" i="5"/>
  <c r="L48" i="5"/>
  <c r="K48" i="5"/>
  <c r="J48" i="5"/>
  <c r="I48" i="5"/>
  <c r="H48" i="5"/>
  <c r="G48" i="5"/>
  <c r="F48" i="5"/>
  <c r="E48" i="5"/>
  <c r="C48" i="5"/>
  <c r="M48" i="5" s="1"/>
  <c r="L47" i="5"/>
  <c r="K47" i="5"/>
  <c r="J47" i="5"/>
  <c r="I47" i="5"/>
  <c r="H47" i="5"/>
  <c r="G47" i="5"/>
  <c r="F47" i="5"/>
  <c r="D47" i="5"/>
  <c r="L46" i="5"/>
  <c r="K46" i="5"/>
  <c r="J46" i="5"/>
  <c r="I46" i="5"/>
  <c r="H46" i="5"/>
  <c r="F46" i="5"/>
  <c r="M46" i="5" s="1"/>
  <c r="E46" i="5"/>
  <c r="C46" i="5"/>
  <c r="L43" i="5"/>
  <c r="L40" i="5"/>
  <c r="L44" i="5" s="1"/>
  <c r="F43" i="5"/>
  <c r="F40" i="5"/>
  <c r="F45" i="5"/>
  <c r="E43" i="5"/>
  <c r="E40" i="5"/>
  <c r="E45" i="5"/>
  <c r="D43" i="5"/>
  <c r="D45" i="5" s="1"/>
  <c r="D54" i="5" s="1"/>
  <c r="D40" i="5"/>
  <c r="H42" i="5"/>
  <c r="H40" i="5"/>
  <c r="H45" i="5" s="1"/>
  <c r="K43" i="5"/>
  <c r="K40" i="5"/>
  <c r="K45" i="5"/>
  <c r="J43" i="5"/>
  <c r="J40" i="5"/>
  <c r="J45" i="5"/>
  <c r="I43" i="5"/>
  <c r="I45" i="5" s="1"/>
  <c r="I40" i="5"/>
  <c r="H43" i="5"/>
  <c r="G43" i="5"/>
  <c r="G40" i="5"/>
  <c r="G45" i="5"/>
  <c r="M43" i="5"/>
  <c r="C42" i="5"/>
  <c r="D42" i="5"/>
  <c r="E42" i="5"/>
  <c r="E44" i="5" s="1"/>
  <c r="F42" i="5"/>
  <c r="G42" i="5"/>
  <c r="I42" i="5"/>
  <c r="J42" i="5"/>
  <c r="K42" i="5"/>
  <c r="K44" i="5" s="1"/>
  <c r="L42" i="5"/>
  <c r="L49" i="5"/>
  <c r="G44" i="5"/>
  <c r="F44" i="5"/>
  <c r="F54" i="5" s="1"/>
  <c r="E9" i="5"/>
  <c r="E47" i="5"/>
  <c r="D44" i="5"/>
  <c r="C40" i="5"/>
  <c r="C45" i="5" s="1"/>
  <c r="C44" i="5"/>
  <c r="L41" i="5"/>
  <c r="K41" i="5"/>
  <c r="J41" i="5"/>
  <c r="I41" i="5"/>
  <c r="H41" i="5"/>
  <c r="G41" i="5"/>
  <c r="F41" i="5"/>
  <c r="E41" i="5"/>
  <c r="D41" i="5"/>
  <c r="C41" i="5"/>
  <c r="J44" i="5"/>
  <c r="I44" i="5"/>
  <c r="L35" i="5"/>
  <c r="J35" i="5"/>
  <c r="I35" i="5"/>
  <c r="H15" i="5"/>
  <c r="H35" i="5" s="1"/>
  <c r="E35" i="5"/>
  <c r="D35" i="5"/>
  <c r="C35" i="5"/>
  <c r="L34" i="5"/>
  <c r="K34" i="5"/>
  <c r="J34" i="5"/>
  <c r="I34" i="5"/>
  <c r="H34" i="5"/>
  <c r="G34" i="5"/>
  <c r="F34" i="5"/>
  <c r="E34" i="5"/>
  <c r="D34" i="5"/>
  <c r="C34" i="5"/>
  <c r="M34" i="5"/>
  <c r="L33" i="5"/>
  <c r="K33" i="5"/>
  <c r="J33" i="5"/>
  <c r="I33" i="5"/>
  <c r="H33" i="5"/>
  <c r="G33" i="5"/>
  <c r="F33" i="5"/>
  <c r="E33" i="5"/>
  <c r="M33" i="5" s="1"/>
  <c r="D33" i="5"/>
  <c r="C33" i="5"/>
  <c r="L32" i="5"/>
  <c r="K32" i="5"/>
  <c r="J32" i="5"/>
  <c r="I32" i="5"/>
  <c r="H32" i="5"/>
  <c r="G32" i="5"/>
  <c r="F32" i="5"/>
  <c r="E32" i="5"/>
  <c r="D32" i="5"/>
  <c r="M32" i="5" s="1"/>
  <c r="C32" i="5"/>
  <c r="L31" i="5"/>
  <c r="F31" i="5"/>
  <c r="E31" i="5"/>
  <c r="C31" i="5"/>
  <c r="L30" i="5"/>
  <c r="K30" i="5"/>
  <c r="J30" i="5"/>
  <c r="I30" i="5"/>
  <c r="H30" i="5"/>
  <c r="G30" i="5"/>
  <c r="F30" i="5"/>
  <c r="E30" i="5"/>
  <c r="C30" i="5"/>
  <c r="M30" i="5"/>
  <c r="L29" i="5"/>
  <c r="K29" i="5"/>
  <c r="J29" i="5"/>
  <c r="I29" i="5"/>
  <c r="H29" i="5"/>
  <c r="G29" i="5"/>
  <c r="F29" i="5"/>
  <c r="D29" i="5"/>
  <c r="L28" i="5"/>
  <c r="K28" i="5"/>
  <c r="J28" i="5"/>
  <c r="I28" i="5"/>
  <c r="H28" i="5"/>
  <c r="F28" i="5"/>
  <c r="E28" i="5"/>
  <c r="C28" i="5"/>
  <c r="K7" i="5"/>
  <c r="K27" i="5"/>
  <c r="J7" i="5"/>
  <c r="I7" i="5"/>
  <c r="I27" i="5"/>
  <c r="C7" i="5"/>
  <c r="L6" i="5"/>
  <c r="L26" i="5"/>
  <c r="F6" i="5"/>
  <c r="E6" i="5"/>
  <c r="E26" i="5"/>
  <c r="D6" i="5"/>
  <c r="L25" i="5"/>
  <c r="K25" i="5"/>
  <c r="J25" i="5"/>
  <c r="I25" i="5"/>
  <c r="H25" i="5"/>
  <c r="G25" i="5"/>
  <c r="F25" i="5"/>
  <c r="E25" i="5"/>
  <c r="D25" i="5"/>
  <c r="C25" i="5"/>
  <c r="M25" i="5"/>
  <c r="L24" i="5"/>
  <c r="K24" i="5"/>
  <c r="J24" i="5"/>
  <c r="I24" i="5"/>
  <c r="H24" i="5"/>
  <c r="G24" i="5"/>
  <c r="F24" i="5"/>
  <c r="E24" i="5"/>
  <c r="M24" i="5" s="1"/>
  <c r="D24" i="5"/>
  <c r="C24" i="5"/>
  <c r="L23" i="5"/>
  <c r="K23" i="5"/>
  <c r="J23" i="5"/>
  <c r="I23" i="5"/>
  <c r="H23" i="5"/>
  <c r="G23" i="5"/>
  <c r="F23" i="5"/>
  <c r="E23" i="5"/>
  <c r="D23" i="5"/>
  <c r="C23" i="5"/>
  <c r="L22" i="5"/>
  <c r="K22" i="5"/>
  <c r="J22" i="5"/>
  <c r="I22" i="5"/>
  <c r="H22" i="5"/>
  <c r="G22" i="5"/>
  <c r="F22" i="5"/>
  <c r="E22" i="5"/>
  <c r="D22" i="5"/>
  <c r="C22" i="5"/>
  <c r="I6" i="5"/>
  <c r="I16" i="5" s="1"/>
  <c r="K15" i="5"/>
  <c r="J53" i="5"/>
  <c r="I53" i="5"/>
  <c r="H75" i="5"/>
  <c r="F75" i="5"/>
  <c r="M14" i="5"/>
  <c r="M13" i="5"/>
  <c r="M12" i="5"/>
  <c r="K71" i="5"/>
  <c r="J71" i="5"/>
  <c r="H11" i="5"/>
  <c r="H71" i="5" s="1"/>
  <c r="H49" i="5"/>
  <c r="G11" i="5"/>
  <c r="G49" i="5"/>
  <c r="D11" i="5"/>
  <c r="D71" i="5" s="1"/>
  <c r="M11" i="5"/>
  <c r="M10" i="5"/>
  <c r="G8" i="5"/>
  <c r="I57" i="5"/>
  <c r="D8" i="5"/>
  <c r="D28" i="5"/>
  <c r="L7" i="5"/>
  <c r="L27" i="5" s="1"/>
  <c r="L36" i="5" s="1"/>
  <c r="L67" i="5"/>
  <c r="L76" i="5" s="1"/>
  <c r="I67" i="5"/>
  <c r="H7" i="5"/>
  <c r="G7" i="5"/>
  <c r="G27" i="5"/>
  <c r="F7" i="5"/>
  <c r="F67" i="5" s="1"/>
  <c r="F76" i="5" s="1"/>
  <c r="E7" i="5"/>
  <c r="E67" i="5"/>
  <c r="D7" i="5"/>
  <c r="L16" i="5"/>
  <c r="K6" i="5"/>
  <c r="J6" i="5"/>
  <c r="J26" i="5"/>
  <c r="I26" i="5"/>
  <c r="H6" i="5"/>
  <c r="G6" i="5"/>
  <c r="G26" i="5" s="1"/>
  <c r="G16" i="5"/>
  <c r="E16" i="5"/>
  <c r="C6" i="5"/>
  <c r="C26" i="5" s="1"/>
  <c r="P5" i="5"/>
  <c r="M5" i="5"/>
  <c r="P4" i="5"/>
  <c r="M4" i="5"/>
  <c r="E29" i="5"/>
  <c r="H67" i="5"/>
  <c r="H76" i="5" s="1"/>
  <c r="K75" i="5"/>
  <c r="K76" i="5"/>
  <c r="E69" i="5"/>
  <c r="J31" i="5"/>
  <c r="D31" i="5"/>
  <c r="G71" i="5"/>
  <c r="M6" i="5"/>
  <c r="G28" i="5"/>
  <c r="G31" i="5"/>
  <c r="G35" i="5"/>
  <c r="E27" i="5"/>
  <c r="E36" i="5" s="1"/>
  <c r="F27" i="5"/>
  <c r="K35" i="5"/>
  <c r="D46" i="5"/>
  <c r="D49" i="5"/>
  <c r="H53" i="5"/>
  <c r="C67" i="5"/>
  <c r="J16" i="5"/>
  <c r="H26" i="5"/>
  <c r="H31" i="5"/>
  <c r="G68" i="5"/>
  <c r="D68" i="5"/>
  <c r="C16" i="5"/>
  <c r="F35" i="5"/>
  <c r="M28" i="5"/>
  <c r="G46" i="5"/>
  <c r="K53" i="5"/>
  <c r="M8" i="5"/>
  <c r="N8" i="5"/>
  <c r="C22" i="1"/>
  <c r="E14" i="1"/>
  <c r="G14" i="1"/>
  <c r="I14" i="1"/>
  <c r="E15" i="1"/>
  <c r="G15" i="1"/>
  <c r="I15" i="1"/>
  <c r="E16" i="1"/>
  <c r="G16" i="1"/>
  <c r="I16" i="1"/>
  <c r="G13" i="1"/>
  <c r="I13" i="1"/>
  <c r="E13" i="1"/>
  <c r="E8" i="1"/>
  <c r="G8" i="1"/>
  <c r="I8" i="1"/>
  <c r="E9" i="1"/>
  <c r="G9" i="1"/>
  <c r="I9" i="1"/>
  <c r="E10" i="1"/>
  <c r="G10" i="1"/>
  <c r="I10" i="1"/>
  <c r="E11" i="1"/>
  <c r="G11" i="1"/>
  <c r="I11" i="1"/>
  <c r="I7" i="1"/>
  <c r="G7" i="1"/>
  <c r="E7" i="1"/>
  <c r="C22" i="4"/>
  <c r="C22" i="3"/>
  <c r="B1" i="2"/>
  <c r="C15" i="2" s="1"/>
  <c r="C22" i="2"/>
  <c r="J36" i="4"/>
  <c r="K36" i="4"/>
  <c r="K37" i="4"/>
  <c r="N35" i="4"/>
  <c r="M27" i="4"/>
  <c r="M28" i="4"/>
  <c r="M29" i="4"/>
  <c r="M30" i="4" s="1"/>
  <c r="M31" i="4" s="1"/>
  <c r="M32" i="4" s="1"/>
  <c r="M33" i="4"/>
  <c r="M34" i="4" s="1"/>
  <c r="M35" i="4" s="1"/>
  <c r="N30" i="4"/>
  <c r="O30" i="4"/>
  <c r="L36" i="4"/>
  <c r="O16" i="4"/>
  <c r="O15" i="4"/>
  <c r="O14" i="4"/>
  <c r="O11" i="4"/>
  <c r="O10" i="4"/>
  <c r="O9" i="4"/>
  <c r="O8" i="4"/>
  <c r="O7" i="4"/>
  <c r="C3" i="4"/>
  <c r="K36" i="3"/>
  <c r="K37" i="3" s="1"/>
  <c r="J36" i="3"/>
  <c r="N35" i="3"/>
  <c r="M27" i="3"/>
  <c r="M28" i="3" s="1"/>
  <c r="M29" i="3" s="1"/>
  <c r="M30" i="3" s="1"/>
  <c r="M31" i="3"/>
  <c r="M32" i="3" s="1"/>
  <c r="M33" i="3" s="1"/>
  <c r="M34" i="3" s="1"/>
  <c r="M35" i="3" s="1"/>
  <c r="O16" i="3"/>
  <c r="O15" i="3"/>
  <c r="O14" i="3"/>
  <c r="C14" i="3"/>
  <c r="O13" i="3"/>
  <c r="N17" i="3"/>
  <c r="M17" i="3"/>
  <c r="L17" i="3"/>
  <c r="K17" i="3"/>
  <c r="J17" i="3"/>
  <c r="I17" i="3"/>
  <c r="H17" i="3"/>
  <c r="G17" i="3"/>
  <c r="F17" i="3"/>
  <c r="E17" i="3"/>
  <c r="D12" i="3"/>
  <c r="D17" i="3" s="1"/>
  <c r="O11" i="3"/>
  <c r="O10" i="3"/>
  <c r="C10" i="3"/>
  <c r="O9" i="3"/>
  <c r="O8" i="3"/>
  <c r="O7" i="3"/>
  <c r="C3" i="3"/>
  <c r="K36" i="2"/>
  <c r="J36" i="2"/>
  <c r="M27" i="2"/>
  <c r="M28" i="2" s="1"/>
  <c r="M29" i="2" s="1"/>
  <c r="M30" i="2" s="1"/>
  <c r="M31" i="2"/>
  <c r="M32" i="2" s="1"/>
  <c r="M33" i="2" s="1"/>
  <c r="M34" i="2" s="1"/>
  <c r="M35" i="2" s="1"/>
  <c r="N17" i="2"/>
  <c r="M17" i="2"/>
  <c r="L17" i="2"/>
  <c r="K17" i="2"/>
  <c r="J17" i="2"/>
  <c r="I17" i="2"/>
  <c r="H17" i="2"/>
  <c r="G17" i="2"/>
  <c r="E17" i="2"/>
  <c r="D17" i="2"/>
  <c r="B17" i="2"/>
  <c r="C4" i="2"/>
  <c r="C3" i="2"/>
  <c r="K37" i="2"/>
  <c r="C16" i="3"/>
  <c r="N30" i="2"/>
  <c r="O30" i="2"/>
  <c r="L36" i="2"/>
  <c r="N30" i="3"/>
  <c r="O30" i="3"/>
  <c r="L36" i="3"/>
  <c r="C11" i="3"/>
  <c r="K36" i="1"/>
  <c r="J36" i="1"/>
  <c r="M27" i="1"/>
  <c r="M28" i="1"/>
  <c r="M29" i="1" s="1"/>
  <c r="M30" i="1" s="1"/>
  <c r="M31" i="1" s="1"/>
  <c r="M32" i="1" s="1"/>
  <c r="M33" i="1" s="1"/>
  <c r="M34" i="1" s="1"/>
  <c r="M35" i="1" s="1"/>
  <c r="C14" i="1"/>
  <c r="D12" i="1"/>
  <c r="D17" i="1"/>
  <c r="B12" i="1"/>
  <c r="B17" i="1" s="1"/>
  <c r="C10" i="1"/>
  <c r="C9" i="1"/>
  <c r="C3" i="1"/>
  <c r="O30" i="1"/>
  <c r="C15" i="1"/>
  <c r="C8" i="1"/>
  <c r="C16" i="1"/>
  <c r="C7" i="1"/>
  <c r="C11" i="1"/>
  <c r="C13" i="1"/>
  <c r="F17" i="4"/>
  <c r="H12" i="4"/>
  <c r="H17" i="4" s="1"/>
  <c r="J12" i="4"/>
  <c r="J17" i="4"/>
  <c r="L12" i="4"/>
  <c r="L17" i="4" s="1"/>
  <c r="B17" i="4"/>
  <c r="D17" i="4"/>
  <c r="E17" i="4"/>
  <c r="G12" i="4"/>
  <c r="G17" i="4"/>
  <c r="I12" i="4"/>
  <c r="I17" i="4" s="1"/>
  <c r="M12" i="4"/>
  <c r="M17" i="4"/>
  <c r="N12" i="4"/>
  <c r="N17" i="4" s="1"/>
  <c r="K12" i="4"/>
  <c r="K17" i="4"/>
  <c r="D67" i="5" l="1"/>
  <c r="D76" i="5" s="1"/>
  <c r="D27" i="5"/>
  <c r="F26" i="5"/>
  <c r="F36" i="5" s="1"/>
  <c r="F16" i="5"/>
  <c r="I49" i="5"/>
  <c r="M49" i="5" s="1"/>
  <c r="I71" i="5"/>
  <c r="M71" i="5" s="1"/>
  <c r="I31" i="5"/>
  <c r="I36" i="5" s="1"/>
  <c r="G53" i="5"/>
  <c r="M15" i="5"/>
  <c r="G75" i="5"/>
  <c r="E76" i="5"/>
  <c r="M66" i="5"/>
  <c r="I76" i="5"/>
  <c r="M68" i="5"/>
  <c r="O12" i="4"/>
  <c r="O17" i="4" s="1"/>
  <c r="G36" i="5"/>
  <c r="D26" i="5"/>
  <c r="D16" i="5"/>
  <c r="M42" i="5"/>
  <c r="H44" i="5"/>
  <c r="H54" i="5" s="1"/>
  <c r="I12" i="1"/>
  <c r="I17" i="1" s="1"/>
  <c r="E12" i="1"/>
  <c r="E17" i="1" s="1"/>
  <c r="C12" i="1"/>
  <c r="C17" i="1" s="1"/>
  <c r="G19" i="4"/>
  <c r="E19" i="4"/>
  <c r="O21" i="4" s="1"/>
  <c r="J19" i="4"/>
  <c r="K37" i="1"/>
  <c r="K26" i="5"/>
  <c r="M26" i="5" s="1"/>
  <c r="K16" i="5"/>
  <c r="H27" i="5"/>
  <c r="H36" i="5" s="1"/>
  <c r="H16" i="5"/>
  <c r="J27" i="5"/>
  <c r="J36" i="5" s="1"/>
  <c r="J67" i="5"/>
  <c r="J76" i="5" s="1"/>
  <c r="L54" i="5"/>
  <c r="J54" i="5"/>
  <c r="C13" i="3"/>
  <c r="C9" i="3"/>
  <c r="C8" i="3"/>
  <c r="C6" i="3"/>
  <c r="C15" i="3"/>
  <c r="C7" i="3"/>
  <c r="H12" i="1"/>
  <c r="H17" i="1" s="1"/>
  <c r="O13" i="1"/>
  <c r="N30" i="5"/>
  <c r="C27" i="5"/>
  <c r="M7" i="5"/>
  <c r="M35" i="5"/>
  <c r="E54" i="5"/>
  <c r="L45" i="5"/>
  <c r="M45" i="5" s="1"/>
  <c r="K49" i="5"/>
  <c r="K54" i="5" s="1"/>
  <c r="K31" i="5"/>
  <c r="M31" i="5" s="1"/>
  <c r="C69" i="5"/>
  <c r="M69" i="5" s="1"/>
  <c r="C29" i="5"/>
  <c r="M29" i="5" s="1"/>
  <c r="C47" i="5"/>
  <c r="M47" i="5" s="1"/>
  <c r="M9" i="5"/>
  <c r="O12" i="3"/>
  <c r="O17" i="3" s="1"/>
  <c r="G19" i="3" s="1"/>
  <c r="G12" i="1"/>
  <c r="G17" i="1" s="1"/>
  <c r="C8" i="4"/>
  <c r="C14" i="4"/>
  <c r="C15" i="4"/>
  <c r="C9" i="4"/>
  <c r="C6" i="4"/>
  <c r="C12" i="4" s="1"/>
  <c r="C17" i="4" s="1"/>
  <c r="C16" i="4"/>
  <c r="C10" i="4"/>
  <c r="C13" i="4"/>
  <c r="C7" i="4"/>
  <c r="C11" i="4"/>
  <c r="C7" i="2"/>
  <c r="C11" i="2"/>
  <c r="C16" i="2"/>
  <c r="O9" i="2"/>
  <c r="L31" i="1"/>
  <c r="K12" i="1"/>
  <c r="K17" i="1" s="1"/>
  <c r="C8" i="2"/>
  <c r="C13" i="2"/>
  <c r="O8" i="2"/>
  <c r="O12" i="2" s="1"/>
  <c r="O17" i="2" s="1"/>
  <c r="H8" i="1"/>
  <c r="F8" i="1"/>
  <c r="O8" i="1" s="1"/>
  <c r="O12" i="1" s="1"/>
  <c r="O17" i="1" s="1"/>
  <c r="C9" i="2"/>
  <c r="C14" i="2"/>
  <c r="C6" i="2"/>
  <c r="C10" i="2"/>
  <c r="G19" i="2" l="1"/>
  <c r="J19" i="2"/>
  <c r="E19" i="2"/>
  <c r="O19" i="1"/>
  <c r="O22" i="1"/>
  <c r="J19" i="1"/>
  <c r="M16" i="5"/>
  <c r="J19" i="3"/>
  <c r="C54" i="5"/>
  <c r="D36" i="5"/>
  <c r="M53" i="5"/>
  <c r="G54" i="5"/>
  <c r="C12" i="2"/>
  <c r="C17" i="2" s="1"/>
  <c r="O22" i="2" s="1"/>
  <c r="N35" i="1"/>
  <c r="L36" i="1"/>
  <c r="M27" i="5"/>
  <c r="N36" i="5" s="1"/>
  <c r="C36" i="5"/>
  <c r="M44" i="5"/>
  <c r="N44" i="5" s="1"/>
  <c r="O19" i="4"/>
  <c r="O22" i="4"/>
  <c r="M67" i="5"/>
  <c r="N67" i="5" s="1"/>
  <c r="G19" i="1"/>
  <c r="K36" i="5"/>
  <c r="F12" i="1"/>
  <c r="F17" i="1" s="1"/>
  <c r="E19" i="1" s="1"/>
  <c r="O19" i="3"/>
  <c r="E19" i="3"/>
  <c r="O21" i="3" s="1"/>
  <c r="N7" i="5"/>
  <c r="C12" i="3"/>
  <c r="C17" i="3" s="1"/>
  <c r="O22" i="3" s="1"/>
  <c r="I54" i="5"/>
  <c r="M75" i="5"/>
  <c r="G76" i="5"/>
  <c r="C76" i="5"/>
  <c r="M76" i="5" s="1"/>
  <c r="M36" i="5" l="1"/>
  <c r="N27" i="5"/>
  <c r="O19" i="2"/>
  <c r="O21" i="1"/>
  <c r="M54" i="5"/>
  <c r="G56" i="5"/>
  <c r="G58" i="5" s="1"/>
  <c r="O21" i="2"/>
  <c r="L56" i="5" l="1"/>
  <c r="M58" i="5"/>
</calcChain>
</file>

<file path=xl/comments1.xml><?xml version="1.0" encoding="utf-8"?>
<comments xmlns="http://schemas.openxmlformats.org/spreadsheetml/2006/main">
  <authors>
    <author>Bénédicte Million</author>
  </authors>
  <commentList>
    <comment ref="J44" authorId="0" shapeId="0">
      <text>
        <r>
          <rPr>
            <b/>
            <sz val="11"/>
            <color rgb="FFFF0000"/>
            <rFont val="Calibri"/>
            <family val="2"/>
          </rPr>
          <t>Bénédicte Million:</t>
        </r>
        <r>
          <rPr>
            <b/>
            <sz val="12"/>
            <color rgb="FF000000"/>
            <rFont val="Calibri"/>
            <family val="2"/>
          </rPr>
          <t xml:space="preserve">
</t>
        </r>
        <r>
          <rPr>
            <b/>
            <sz val="12"/>
            <color rgb="FF000000"/>
            <rFont val="Calibri"/>
            <family val="2"/>
          </rPr>
          <t xml:space="preserve">no discount inserted
</t>
        </r>
      </text>
    </comment>
    <comment ref="K44" authorId="0" shapeId="0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44" authorId="0" shapeId="0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J66" authorId="0" shapeId="0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K66" authorId="0" shapeId="0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  <comment ref="L66" authorId="0" shapeId="0">
      <text>
        <r>
          <rPr>
            <b/>
            <sz val="10"/>
            <color rgb="FF000000"/>
            <rFont val="Tahoma"/>
            <family val="2"/>
          </rPr>
          <t>Bénédicte Million: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no discount inserted</t>
        </r>
      </text>
    </comment>
  </commentList>
</comments>
</file>

<file path=xl/sharedStrings.xml><?xml version="1.0" encoding="utf-8"?>
<sst xmlns="http://schemas.openxmlformats.org/spreadsheetml/2006/main" count="304" uniqueCount="81">
  <si>
    <t>France</t>
  </si>
  <si>
    <t xml:space="preserve">MoU   </t>
  </si>
  <si>
    <t xml:space="preserve">Core </t>
  </si>
  <si>
    <t>Global</t>
  </si>
  <si>
    <t>Spent</t>
  </si>
  <si>
    <t>Caps</t>
  </si>
  <si>
    <t xml:space="preserve">Cryostat   </t>
  </si>
  <si>
    <t>FEE</t>
  </si>
  <si>
    <t>DAQ</t>
  </si>
  <si>
    <t>INFRA</t>
  </si>
  <si>
    <t>Ancillary</t>
  </si>
  <si>
    <t>Data ana</t>
  </si>
  <si>
    <t>Spent / Prop</t>
  </si>
  <si>
    <t>#</t>
  </si>
  <si>
    <t>prop1</t>
  </si>
  <si>
    <t>(IVA escl)</t>
  </si>
  <si>
    <t>(IVA escl.)</t>
  </si>
  <si>
    <t xml:space="preserve"> </t>
  </si>
  <si>
    <t>16 caps</t>
  </si>
  <si>
    <t>5 ATC</t>
  </si>
  <si>
    <t>Totale anno/5</t>
  </si>
  <si>
    <t>26 ATC</t>
  </si>
  <si>
    <t>5,33 ATC</t>
  </si>
  <si>
    <t>Project Definition</t>
  </si>
  <si>
    <t>proposition France</t>
  </si>
  <si>
    <t># ch in MoU</t>
  </si>
  <si>
    <t>upgr. FEE
(45 ch)</t>
  </si>
  <si>
    <t>new electr.
(78 ch)</t>
  </si>
  <si>
    <t># ch</t>
  </si>
  <si>
    <t>year</t>
  </si>
  <si>
    <t>upgr. + new</t>
  </si>
  <si>
    <t>new</t>
  </si>
  <si>
    <t>sum</t>
  </si>
  <si>
    <t>8 caps</t>
  </si>
  <si>
    <t>3 ATC</t>
  </si>
  <si>
    <t>GANIL</t>
  </si>
  <si>
    <t>IN2P3</t>
  </si>
  <si>
    <t>1 ATC + 2 caps</t>
  </si>
  <si>
    <t>STARE</t>
  </si>
  <si>
    <t>2 ATC + 2 caps + 1 criostato</t>
  </si>
  <si>
    <t>5 caps</t>
  </si>
  <si>
    <t>1 ATC</t>
  </si>
  <si>
    <t>IRFU</t>
  </si>
  <si>
    <t>3 caps</t>
  </si>
  <si>
    <t>A- Costs in k€ per year/procurement goal in Capsules/Clusters with 2020 costs (VAT Excluded)</t>
  </si>
  <si>
    <t>Total</t>
  </si>
  <si>
    <t>64/21</t>
  </si>
  <si>
    <t>72/24</t>
  </si>
  <si>
    <t>80/26</t>
  </si>
  <si>
    <t>88/29</t>
  </si>
  <si>
    <t>96/31</t>
  </si>
  <si>
    <t>104/34</t>
  </si>
  <si>
    <t>111/37</t>
  </si>
  <si>
    <t>119/40</t>
  </si>
  <si>
    <t>127/43</t>
  </si>
  <si>
    <t>135/45</t>
  </si>
  <si>
    <t>Detectors</t>
  </si>
  <si>
    <t>7/8  capsules/year</t>
  </si>
  <si>
    <t>Cryostats</t>
  </si>
  <si>
    <t>2/3 Cryostats/year</t>
  </si>
  <si>
    <t xml:space="preserve">Detector </t>
  </si>
  <si>
    <t>Cryostat</t>
  </si>
  <si>
    <t>Detectors +Cryostats</t>
  </si>
  <si>
    <t>Electronics</t>
  </si>
  <si>
    <t>Electronics Upgrade</t>
  </si>
  <si>
    <t>GTS/SMART</t>
  </si>
  <si>
    <t>PSA &amp; DAQ</t>
  </si>
  <si>
    <t>Storage</t>
  </si>
  <si>
    <t>Analysis</t>
  </si>
  <si>
    <t>Infrastructure</t>
  </si>
  <si>
    <t>Mechanics</t>
  </si>
  <si>
    <t>B- Costs in k€ per year/procurement goal in Capsules/Clusters with 2019 + Inflation costs (VAT Excluded)</t>
  </si>
  <si>
    <t>Inflation =1.5%/year</t>
  </si>
  <si>
    <t>C- Costs in k€ per year/procurement goal in Capsules/Clusters with 2019 + Inflation - Discount costs (VAT Excluded)</t>
  </si>
  <si>
    <t>Detectors + Cryostats</t>
  </si>
  <si>
    <t>draft MoU Phase 2</t>
  </si>
  <si>
    <t>D- Costs in k€ per year/procurement goal in Capsules/Clusters with 2019 + Maximum Mirion Inflation - Discount costs (VAT Excluded)</t>
  </si>
  <si>
    <t>Detector Inflation =2.5%/year</t>
  </si>
  <si>
    <t>2021-2031</t>
  </si>
  <si>
    <t>2021-2026</t>
  </si>
  <si>
    <t>2021-202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</si>
</sst>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sz val="12"/>
      <name val="Arial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b/>
      <sz val="16"/>
      <color rgb="FF365F91"/>
      <name val="Times New Roman"/>
      <family val="1"/>
    </font>
    <font>
      <b/>
      <sz val="12"/>
      <color rgb="FF365F91"/>
      <name val="Times New Roman"/>
      <family val="1"/>
    </font>
    <font>
      <b/>
      <sz val="14"/>
      <color rgb="FF365F91"/>
      <name val="Times New Roman"/>
      <family val="1"/>
    </font>
    <font>
      <b/>
      <i/>
      <sz val="11"/>
      <color rgb="FF00B05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2"/>
      <color rgb="FF002060"/>
      <name val="Calibri"/>
      <family val="2"/>
      <scheme val="minor"/>
    </font>
    <font>
      <b/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rgb="FFCFD5EA"/>
        <bgColor indexed="64"/>
      </patternFill>
    </fill>
    <fill>
      <patternFill patternType="solid">
        <fgColor rgb="FFE9EBF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CB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42"/>
        <bgColor indexed="64"/>
      </patternFill>
    </fill>
  </fills>
  <borders count="62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/>
      <bottom style="thin">
        <color theme="0"/>
      </bottom>
      <diagonal/>
    </border>
    <border>
      <left style="medium">
        <color rgb="FFFFFFFF"/>
      </left>
      <right/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/>
      <top style="medium">
        <color rgb="FFFFFFFF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/>
      <top style="thin">
        <color theme="0"/>
      </top>
      <bottom style="thick">
        <color rgb="FFFFFFFF"/>
      </bottom>
      <diagonal/>
    </border>
    <border>
      <left/>
      <right style="medium">
        <color rgb="FFFFFFFF"/>
      </right>
      <top style="thin">
        <color theme="0"/>
      </top>
      <bottom style="thick">
        <color rgb="FFFFFFFF"/>
      </bottom>
      <diagonal/>
    </border>
    <border>
      <left/>
      <right style="thin">
        <color theme="0"/>
      </right>
      <top style="thin">
        <color theme="0"/>
      </top>
      <bottom style="thick">
        <color rgb="FFFFFFFF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thin">
        <color theme="0"/>
      </right>
      <top style="medium">
        <color rgb="FFFFFFFF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thin">
        <color theme="0"/>
      </right>
      <top/>
      <bottom style="medium">
        <color rgb="FFFFFFFF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/>
      <bottom style="medium">
        <color rgb="FFFFFFFF"/>
      </bottom>
      <diagonal/>
    </border>
    <border>
      <left/>
      <right/>
      <top/>
      <bottom style="medium">
        <color rgb="FFFFFFF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/>
      <top/>
      <bottom/>
      <diagonal/>
    </border>
  </borders>
  <cellStyleXfs count="59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0" fontId="2" fillId="0" borderId="0" xfId="0" applyNumberFormat="1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9" xfId="0" applyFont="1" applyFill="1" applyBorder="1" applyAlignment="1">
      <alignment horizontal="center" vertical="center" wrapText="1" readingOrder="1"/>
    </xf>
    <xf numFmtId="0" fontId="4" fillId="2" borderId="10" xfId="0" applyFont="1" applyFill="1" applyBorder="1" applyAlignment="1">
      <alignment horizontal="center" vertical="center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horizontal="center" vertical="center"/>
    </xf>
    <xf numFmtId="0" fontId="4" fillId="2" borderId="11" xfId="0" applyFont="1" applyFill="1" applyBorder="1" applyAlignment="1">
      <alignment horizontal="left" vertical="center" wrapText="1" readingOrder="1"/>
    </xf>
    <xf numFmtId="0" fontId="4" fillId="2" borderId="12" xfId="0" applyFont="1" applyFill="1" applyBorder="1" applyAlignment="1">
      <alignment horizontal="center" vertical="center" wrapText="1" readingOrder="1"/>
    </xf>
    <xf numFmtId="0" fontId="4" fillId="2" borderId="0" xfId="0" applyFont="1" applyFill="1" applyBorder="1" applyAlignment="1">
      <alignment horizontal="center" vertical="center" wrapText="1" readingOrder="1"/>
    </xf>
    <xf numFmtId="0" fontId="4" fillId="2" borderId="13" xfId="0" applyFont="1" applyFill="1" applyBorder="1" applyAlignment="1">
      <alignment horizontal="center" vertical="center" wrapText="1" readingOrder="1"/>
    </xf>
    <xf numFmtId="0" fontId="4" fillId="2" borderId="14" xfId="0" applyFont="1" applyFill="1" applyBorder="1" applyAlignment="1">
      <alignment horizontal="center" vertical="center" wrapText="1" readingOrder="1"/>
    </xf>
    <xf numFmtId="0" fontId="4" fillId="2" borderId="19" xfId="0" applyFont="1" applyFill="1" applyBorder="1" applyAlignment="1">
      <alignment horizontal="center" vertical="center" wrapText="1" readingOrder="1"/>
    </xf>
    <xf numFmtId="0" fontId="4" fillId="2" borderId="20" xfId="0" applyFont="1" applyFill="1" applyBorder="1" applyAlignment="1">
      <alignment horizontal="center" vertical="center" wrapText="1" readingOrder="1"/>
    </xf>
    <xf numFmtId="0" fontId="5" fillId="3" borderId="21" xfId="0" applyFont="1" applyFill="1" applyBorder="1" applyAlignment="1">
      <alignment horizontal="center" vertical="center" wrapText="1" readingOrder="1"/>
    </xf>
    <xf numFmtId="1" fontId="5" fillId="3" borderId="21" xfId="0" applyNumberFormat="1" applyFont="1" applyFill="1" applyBorder="1" applyAlignment="1">
      <alignment horizontal="center" vertical="center" wrapText="1" readingOrder="1"/>
    </xf>
    <xf numFmtId="0" fontId="6" fillId="3" borderId="21" xfId="0" applyFont="1" applyFill="1" applyBorder="1" applyAlignment="1">
      <alignment horizontal="center" vertical="top" wrapText="1"/>
    </xf>
    <xf numFmtId="0" fontId="6" fillId="3" borderId="21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 readingOrder="1"/>
    </xf>
    <xf numFmtId="0" fontId="6" fillId="4" borderId="21" xfId="0" applyFont="1" applyFill="1" applyBorder="1" applyAlignment="1">
      <alignment horizontal="center" vertical="top" wrapText="1"/>
    </xf>
    <xf numFmtId="0" fontId="6" fillId="4" borderId="21" xfId="0" applyFont="1" applyFill="1" applyBorder="1" applyAlignment="1">
      <alignment horizontal="center" vertical="center" wrapText="1"/>
    </xf>
    <xf numFmtId="1" fontId="5" fillId="4" borderId="21" xfId="0" applyNumberFormat="1" applyFont="1" applyFill="1" applyBorder="1" applyAlignment="1">
      <alignment horizontal="center" vertical="center" wrapText="1" readingOrder="1"/>
    </xf>
    <xf numFmtId="1" fontId="6" fillId="3" borderId="21" xfId="0" applyNumberFormat="1" applyFont="1" applyFill="1" applyBorder="1" applyAlignment="1">
      <alignment horizontal="center" vertical="top" wrapText="1"/>
    </xf>
    <xf numFmtId="0" fontId="5" fillId="4" borderId="24" xfId="0" applyFont="1" applyFill="1" applyBorder="1" applyAlignment="1">
      <alignment horizontal="center" vertical="center" wrapText="1" readingOrder="1"/>
    </xf>
    <xf numFmtId="0" fontId="5" fillId="4" borderId="25" xfId="0" applyFont="1" applyFill="1" applyBorder="1" applyAlignment="1">
      <alignment vertical="center" wrapText="1" readingOrder="1"/>
    </xf>
    <xf numFmtId="0" fontId="6" fillId="3" borderId="26" xfId="0" applyFont="1" applyFill="1" applyBorder="1" applyAlignment="1">
      <alignment horizontal="center" vertical="top" wrapText="1"/>
    </xf>
    <xf numFmtId="9" fontId="5" fillId="3" borderId="9" xfId="0" applyNumberFormat="1" applyFont="1" applyFill="1" applyBorder="1" applyAlignment="1">
      <alignment horizontal="center" vertical="center" wrapText="1" readingOrder="1"/>
    </xf>
    <xf numFmtId="0" fontId="6" fillId="3" borderId="30" xfId="0" applyFont="1" applyFill="1" applyBorder="1" applyAlignment="1">
      <alignment horizontal="center" vertical="top" wrapText="1"/>
    </xf>
    <xf numFmtId="9" fontId="5" fillId="3" borderId="19" xfId="0" applyNumberFormat="1" applyFont="1" applyFill="1" applyBorder="1" applyAlignment="1">
      <alignment horizontal="center" vertical="center" wrapText="1" readingOrder="1"/>
    </xf>
    <xf numFmtId="9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10" fontId="4" fillId="5" borderId="11" xfId="0" applyNumberFormat="1" applyFont="1" applyFill="1" applyBorder="1" applyAlignment="1">
      <alignment horizontal="center" vertical="center" wrapText="1" readingOrder="1"/>
    </xf>
    <xf numFmtId="0" fontId="4" fillId="5" borderId="14" xfId="0" applyFont="1" applyFill="1" applyBorder="1" applyAlignment="1">
      <alignment horizontal="center" vertical="center" wrapText="1" readingOrder="1"/>
    </xf>
    <xf numFmtId="0" fontId="5" fillId="6" borderId="21" xfId="0" applyFont="1" applyFill="1" applyBorder="1" applyAlignment="1">
      <alignment horizontal="center" vertical="center" wrapText="1" readingOrder="1"/>
    </xf>
    <xf numFmtId="1" fontId="5" fillId="6" borderId="21" xfId="0" applyNumberFormat="1" applyFont="1" applyFill="1" applyBorder="1" applyAlignment="1">
      <alignment horizontal="center" vertical="center" wrapText="1" readingOrder="1"/>
    </xf>
    <xf numFmtId="0" fontId="6" fillId="6" borderId="21" xfId="0" applyFont="1" applyFill="1" applyBorder="1" applyAlignment="1">
      <alignment horizontal="center" vertical="top" wrapText="1"/>
    </xf>
    <xf numFmtId="0" fontId="6" fillId="6" borderId="21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 readingOrder="1"/>
    </xf>
    <xf numFmtId="1" fontId="5" fillId="7" borderId="21" xfId="0" applyNumberFormat="1" applyFont="1" applyFill="1" applyBorder="1" applyAlignment="1">
      <alignment horizontal="center" vertical="center" wrapText="1" readingOrder="1"/>
    </xf>
    <xf numFmtId="0" fontId="6" fillId="7" borderId="21" xfId="0" applyFont="1" applyFill="1" applyBorder="1" applyAlignment="1">
      <alignment horizontal="center" vertical="top" wrapText="1"/>
    </xf>
    <xf numFmtId="0" fontId="6" fillId="7" borderId="21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 readingOrder="1"/>
    </xf>
    <xf numFmtId="1" fontId="7" fillId="5" borderId="21" xfId="0" applyNumberFormat="1" applyFont="1" applyFill="1" applyBorder="1" applyAlignment="1">
      <alignment horizontal="center" vertical="center" wrapText="1" readingOrder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 readingOrder="1"/>
    </xf>
    <xf numFmtId="0" fontId="6" fillId="3" borderId="26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9" fontId="5" fillId="3" borderId="9" xfId="0" applyNumberFormat="1" applyFont="1" applyFill="1" applyBorder="1" applyAlignment="1">
      <alignment horizontal="center" vertical="center" wrapText="1" readingOrder="1"/>
    </xf>
    <xf numFmtId="9" fontId="5" fillId="3" borderId="19" xfId="0" applyNumberFormat="1" applyFont="1" applyFill="1" applyBorder="1" applyAlignment="1">
      <alignment horizontal="center" vertical="center" wrapText="1" readingOrder="1"/>
    </xf>
    <xf numFmtId="10" fontId="8" fillId="0" borderId="0" xfId="0" applyNumberFormat="1" applyFont="1" applyAlignment="1">
      <alignment horizontal="center" vertical="center"/>
    </xf>
    <xf numFmtId="0" fontId="6" fillId="8" borderId="21" xfId="0" applyFont="1" applyFill="1" applyBorder="1" applyAlignment="1">
      <alignment horizontal="center" vertical="center" wrapText="1"/>
    </xf>
    <xf numFmtId="1" fontId="6" fillId="6" borderId="21" xfId="0" applyNumberFormat="1" applyFont="1" applyFill="1" applyBorder="1" applyAlignment="1">
      <alignment horizontal="center" vertical="center" wrapText="1"/>
    </xf>
    <xf numFmtId="1" fontId="6" fillId="7" borderId="21" xfId="0" applyNumberFormat="1" applyFont="1" applyFill="1" applyBorder="1" applyAlignment="1">
      <alignment horizontal="center" vertical="center" wrapText="1"/>
    </xf>
    <xf numFmtId="1" fontId="6" fillId="4" borderId="21" xfId="0" applyNumberFormat="1" applyFont="1" applyFill="1" applyBorder="1" applyAlignment="1">
      <alignment horizontal="center" vertical="center" wrapText="1"/>
    </xf>
    <xf numFmtId="1" fontId="6" fillId="8" borderId="2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164" fontId="0" fillId="0" borderId="0" xfId="0" applyNumberFormat="1"/>
    <xf numFmtId="1" fontId="0" fillId="0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12" fillId="0" borderId="0" xfId="0" applyFont="1"/>
    <xf numFmtId="1" fontId="0" fillId="0" borderId="0" xfId="0" applyNumberFormat="1"/>
    <xf numFmtId="0" fontId="10" fillId="0" borderId="47" xfId="0" applyFont="1" applyBorder="1" applyAlignment="1">
      <alignment horizontal="center" vertical="center" wrapText="1"/>
    </xf>
    <xf numFmtId="164" fontId="0" fillId="0" borderId="0" xfId="0" applyNumberFormat="1" applyFill="1"/>
    <xf numFmtId="164" fontId="13" fillId="0" borderId="0" xfId="0" applyNumberFormat="1" applyFont="1"/>
    <xf numFmtId="0" fontId="14" fillId="0" borderId="0" xfId="0" applyFont="1"/>
    <xf numFmtId="0" fontId="10" fillId="0" borderId="45" xfId="0" applyFont="1" applyBorder="1" applyAlignment="1">
      <alignment vertical="center" wrapText="1"/>
    </xf>
    <xf numFmtId="164" fontId="0" fillId="0" borderId="42" xfId="0" applyNumberFormat="1" applyFill="1" applyBorder="1"/>
    <xf numFmtId="164" fontId="0" fillId="0" borderId="42" xfId="0" applyNumberFormat="1" applyBorder="1"/>
    <xf numFmtId="164" fontId="0" fillId="0" borderId="0" xfId="0" applyNumberFormat="1" applyFill="1" applyBorder="1"/>
    <xf numFmtId="164" fontId="15" fillId="0" borderId="0" xfId="0" applyNumberFormat="1" applyFont="1"/>
    <xf numFmtId="0" fontId="16" fillId="0" borderId="0" xfId="0" applyFont="1"/>
    <xf numFmtId="0" fontId="0" fillId="9" borderId="0" xfId="0" applyFill="1"/>
    <xf numFmtId="0" fontId="10" fillId="0" borderId="48" xfId="0" applyFont="1" applyBorder="1" applyAlignment="1">
      <alignment horizontal="center" vertical="center" wrapText="1"/>
    </xf>
    <xf numFmtId="1" fontId="0" fillId="0" borderId="49" xfId="0" applyNumberFormat="1" applyFill="1" applyBorder="1" applyAlignment="1">
      <alignment horizontal="center"/>
    </xf>
    <xf numFmtId="1" fontId="0" fillId="0" borderId="50" xfId="0" applyNumberFormat="1" applyFill="1" applyBorder="1" applyAlignment="1">
      <alignment horizontal="center"/>
    </xf>
    <xf numFmtId="1" fontId="0" fillId="0" borderId="51" xfId="0" applyNumberFormat="1" applyFill="1" applyBorder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53" xfId="0" applyNumberFormat="1" applyFill="1" applyBorder="1" applyAlignment="1">
      <alignment horizontal="center"/>
    </xf>
    <xf numFmtId="1" fontId="0" fillId="0" borderId="42" xfId="0" applyNumberFormat="1" applyFill="1" applyBorder="1" applyAlignment="1">
      <alignment horizontal="center"/>
    </xf>
    <xf numFmtId="1" fontId="0" fillId="0" borderId="54" xfId="0" applyNumberFormat="1" applyFill="1" applyBorder="1" applyAlignment="1">
      <alignment horizontal="center"/>
    </xf>
    <xf numFmtId="1" fontId="0" fillId="0" borderId="55" xfId="0" applyNumberFormat="1" applyBorder="1" applyAlignment="1">
      <alignment horizontal="center"/>
    </xf>
    <xf numFmtId="164" fontId="0" fillId="0" borderId="53" xfId="0" applyNumberFormat="1" applyFill="1" applyBorder="1"/>
    <xf numFmtId="164" fontId="0" fillId="0" borderId="55" xfId="0" applyNumberFormat="1" applyFill="1" applyBorder="1"/>
    <xf numFmtId="164" fontId="0" fillId="0" borderId="55" xfId="0" applyNumberFormat="1" applyBorder="1"/>
    <xf numFmtId="164" fontId="0" fillId="0" borderId="54" xfId="0" applyNumberFormat="1" applyFill="1" applyBorder="1"/>
    <xf numFmtId="0" fontId="0" fillId="0" borderId="42" xfId="0" applyFill="1" applyBorder="1"/>
    <xf numFmtId="164" fontId="0" fillId="0" borderId="57" xfId="0" applyNumberFormat="1" applyFill="1" applyBorder="1"/>
    <xf numFmtId="164" fontId="0" fillId="0" borderId="58" xfId="0" applyNumberFormat="1" applyFill="1" applyBorder="1"/>
    <xf numFmtId="164" fontId="0" fillId="0" borderId="59" xfId="0" applyNumberFormat="1" applyFill="1" applyBorder="1"/>
    <xf numFmtId="164" fontId="15" fillId="0" borderId="60" xfId="0" applyNumberFormat="1" applyFont="1" applyFill="1" applyBorder="1"/>
    <xf numFmtId="0" fontId="0" fillId="0" borderId="0" xfId="0" applyBorder="1"/>
    <xf numFmtId="0" fontId="0" fillId="10" borderId="0" xfId="0" applyFill="1" applyBorder="1"/>
    <xf numFmtId="0" fontId="0" fillId="11" borderId="0" xfId="0" applyFill="1" applyBorder="1"/>
    <xf numFmtId="164" fontId="0" fillId="0" borderId="0" xfId="0" applyNumberFormat="1" applyBorder="1"/>
    <xf numFmtId="164" fontId="18" fillId="10" borderId="0" xfId="0" applyNumberFormat="1" applyFont="1" applyFill="1" applyBorder="1"/>
    <xf numFmtId="164" fontId="19" fillId="11" borderId="0" xfId="0" applyNumberFormat="1" applyFont="1" applyFill="1" applyBorder="1"/>
    <xf numFmtId="164" fontId="0" fillId="0" borderId="0" xfId="0" applyNumberFormat="1" applyAlignment="1">
      <alignment horizontal="right"/>
    </xf>
    <xf numFmtId="164" fontId="15" fillId="0" borderId="0" xfId="0" applyNumberFormat="1" applyFont="1" applyFill="1"/>
    <xf numFmtId="1" fontId="5" fillId="12" borderId="21" xfId="0" applyNumberFormat="1" applyFont="1" applyFill="1" applyBorder="1" applyAlignment="1">
      <alignment horizontal="center" vertical="center" wrapText="1" readingOrder="1"/>
    </xf>
    <xf numFmtId="0" fontId="0" fillId="0" borderId="37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1" fontId="5" fillId="0" borderId="47" xfId="0" applyNumberFormat="1" applyFont="1" applyFill="1" applyBorder="1" applyAlignment="1">
      <alignment horizontal="center" vertical="center" wrapText="1" readingOrder="1"/>
    </xf>
    <xf numFmtId="1" fontId="5" fillId="0" borderId="42" xfId="0" applyNumberFormat="1" applyFont="1" applyFill="1" applyBorder="1" applyAlignment="1">
      <alignment horizontal="center" vertical="center" wrapText="1" readingOrder="1"/>
    </xf>
    <xf numFmtId="0" fontId="6" fillId="0" borderId="4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164" fontId="13" fillId="0" borderId="56" xfId="0" applyNumberFormat="1" applyFont="1" applyBorder="1" applyAlignment="1">
      <alignment horizontal="center" vertical="center"/>
    </xf>
    <xf numFmtId="9" fontId="5" fillId="3" borderId="29" xfId="0" applyNumberFormat="1" applyFont="1" applyFill="1" applyBorder="1" applyAlignment="1">
      <alignment horizontal="center" vertical="center" wrapText="1" readingOrder="1"/>
    </xf>
    <xf numFmtId="9" fontId="5" fillId="3" borderId="10" xfId="0" applyNumberFormat="1" applyFont="1" applyFill="1" applyBorder="1" applyAlignment="1">
      <alignment horizontal="center" vertical="center" wrapText="1" readingOrder="1"/>
    </xf>
    <xf numFmtId="9" fontId="5" fillId="3" borderId="27" xfId="0" applyNumberFormat="1" applyFont="1" applyFill="1" applyBorder="1" applyAlignment="1">
      <alignment horizontal="center" vertical="center" wrapText="1" readingOrder="1"/>
    </xf>
    <xf numFmtId="9" fontId="5" fillId="3" borderId="34" xfId="0" applyNumberFormat="1" applyFont="1" applyFill="1" applyBorder="1" applyAlignment="1">
      <alignment horizontal="center" vertical="center" wrapText="1" readingOrder="1"/>
    </xf>
    <xf numFmtId="9" fontId="5" fillId="3" borderId="35" xfId="0" applyNumberFormat="1" applyFont="1" applyFill="1" applyBorder="1" applyAlignment="1">
      <alignment horizontal="center" vertical="center" wrapText="1" readingOrder="1"/>
    </xf>
    <xf numFmtId="9" fontId="5" fillId="3" borderId="32" xfId="0" applyNumberFormat="1" applyFont="1" applyFill="1" applyBorder="1" applyAlignment="1">
      <alignment horizontal="center" vertical="center" wrapText="1" readingOrder="1"/>
    </xf>
    <xf numFmtId="9" fontId="5" fillId="3" borderId="9" xfId="0" applyNumberFormat="1" applyFont="1" applyFill="1" applyBorder="1" applyAlignment="1">
      <alignment horizontal="center" vertical="center" wrapText="1" readingOrder="1"/>
    </xf>
    <xf numFmtId="9" fontId="5" fillId="3" borderId="19" xfId="0" applyNumberFormat="1" applyFont="1" applyFill="1" applyBorder="1" applyAlignment="1">
      <alignment horizontal="center" vertical="center" wrapText="1" readingOrder="1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 readingOrder="1"/>
    </xf>
    <xf numFmtId="0" fontId="5" fillId="4" borderId="23" xfId="0" applyFont="1" applyFill="1" applyBorder="1" applyAlignment="1">
      <alignment horizontal="center" vertical="center" wrapText="1" readingOrder="1"/>
    </xf>
    <xf numFmtId="0" fontId="5" fillId="4" borderId="6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horizontal="center" vertical="center" wrapText="1" readingOrder="1"/>
    </xf>
    <xf numFmtId="0" fontId="6" fillId="3" borderId="26" xfId="0" applyFont="1" applyFill="1" applyBorder="1" applyAlignment="1">
      <alignment horizontal="center" vertical="top" wrapText="1"/>
    </xf>
    <xf numFmtId="0" fontId="6" fillId="3" borderId="30" xfId="0" applyFont="1" applyFill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vertical="center" wrapText="1" readingOrder="1"/>
    </xf>
    <xf numFmtId="0" fontId="5" fillId="3" borderId="30" xfId="0" applyFont="1" applyFill="1" applyBorder="1" applyAlignment="1">
      <alignment horizontal="center" vertical="center" wrapText="1" readingOrder="1"/>
    </xf>
    <xf numFmtId="9" fontId="5" fillId="3" borderId="25" xfId="0" applyNumberFormat="1" applyFont="1" applyFill="1" applyBorder="1" applyAlignment="1">
      <alignment horizontal="center" vertical="center" wrapText="1" readingOrder="1"/>
    </xf>
    <xf numFmtId="9" fontId="5" fillId="3" borderId="31" xfId="0" applyNumberFormat="1" applyFont="1" applyFill="1" applyBorder="1" applyAlignment="1">
      <alignment horizontal="center" vertical="center" wrapText="1" readingOrder="1"/>
    </xf>
    <xf numFmtId="9" fontId="5" fillId="3" borderId="28" xfId="0" applyNumberFormat="1" applyFont="1" applyFill="1" applyBorder="1" applyAlignment="1">
      <alignment horizontal="center" vertical="center" wrapText="1" readingOrder="1"/>
    </xf>
    <xf numFmtId="9" fontId="5" fillId="3" borderId="13" xfId="0" applyNumberFormat="1" applyFont="1" applyFill="1" applyBorder="1" applyAlignment="1">
      <alignment horizontal="center" vertical="center" wrapText="1" readingOrder="1"/>
    </xf>
    <xf numFmtId="9" fontId="5" fillId="3" borderId="33" xfId="0" applyNumberFormat="1" applyFont="1" applyFill="1" applyBorder="1" applyAlignment="1">
      <alignment horizontal="center" vertical="center" wrapText="1" readingOrder="1"/>
    </xf>
    <xf numFmtId="9" fontId="5" fillId="3" borderId="20" xfId="0" applyNumberFormat="1" applyFont="1" applyFill="1" applyBorder="1" applyAlignment="1">
      <alignment horizontal="center" vertical="center" wrapText="1" readingOrder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 readingOrder="1"/>
    </xf>
    <xf numFmtId="0" fontId="4" fillId="2" borderId="7" xfId="0" applyFont="1" applyFill="1" applyBorder="1" applyAlignment="1">
      <alignment horizontal="center" vertical="center" wrapText="1" readingOrder="1"/>
    </xf>
    <xf numFmtId="0" fontId="4" fillId="2" borderId="8" xfId="0" applyFont="1" applyFill="1" applyBorder="1" applyAlignment="1">
      <alignment horizontal="center" vertical="center" wrapText="1" readingOrder="1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4" fillId="2" borderId="15" xfId="0" applyFont="1" applyFill="1" applyBorder="1" applyAlignment="1">
      <alignment horizontal="center" vertical="top" wrapText="1" readingOrder="1"/>
    </xf>
    <xf numFmtId="0" fontId="4" fillId="2" borderId="17" xfId="0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center" vertical="center" wrapText="1" readingOrder="1"/>
    </xf>
    <xf numFmtId="0" fontId="4" fillId="2" borderId="18" xfId="0" applyFont="1" applyFill="1" applyBorder="1" applyAlignment="1">
      <alignment horizontal="center" vertical="center" wrapText="1" readingOrder="1"/>
    </xf>
  </cellXfs>
  <cellStyles count="5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81"/>
  <sheetViews>
    <sheetView topLeftCell="A17" workbookViewId="0">
      <selection activeCell="F47" sqref="F47"/>
    </sheetView>
  </sheetViews>
  <sheetFormatPr baseColWidth="10" defaultColWidth="8.875" defaultRowHeight="15.75" x14ac:dyDescent="0.25"/>
  <cols>
    <col min="1" max="1" width="14.125" customWidth="1"/>
  </cols>
  <sheetData>
    <row r="1" spans="1:17" ht="21" thickBot="1" x14ac:dyDescent="0.3">
      <c r="A1" s="66" t="s">
        <v>44</v>
      </c>
    </row>
    <row r="2" spans="1:17" ht="15.2" customHeight="1" thickBot="1" x14ac:dyDescent="0.3">
      <c r="C2" s="67">
        <v>2021</v>
      </c>
      <c r="D2" s="68">
        <v>2022</v>
      </c>
      <c r="E2" s="68">
        <v>2023</v>
      </c>
      <c r="F2" s="68">
        <v>2024</v>
      </c>
      <c r="G2" s="68">
        <v>2025</v>
      </c>
      <c r="H2" s="68">
        <v>2026</v>
      </c>
      <c r="I2" s="68">
        <v>2027</v>
      </c>
      <c r="J2" s="68">
        <v>2028</v>
      </c>
      <c r="K2" s="68">
        <v>2029</v>
      </c>
      <c r="L2" s="68">
        <v>2030</v>
      </c>
      <c r="M2" s="121" t="s">
        <v>45</v>
      </c>
      <c r="P2" s="68">
        <v>2025</v>
      </c>
    </row>
    <row r="3" spans="1:17" ht="15.2" customHeight="1" thickBot="1" x14ac:dyDescent="0.3">
      <c r="C3" s="69" t="s">
        <v>46</v>
      </c>
      <c r="D3" s="70" t="s">
        <v>47</v>
      </c>
      <c r="E3" s="70" t="s">
        <v>48</v>
      </c>
      <c r="F3" s="70" t="s">
        <v>49</v>
      </c>
      <c r="G3" s="70" t="s">
        <v>50</v>
      </c>
      <c r="H3" s="70" t="s">
        <v>51</v>
      </c>
      <c r="I3" s="70" t="s">
        <v>52</v>
      </c>
      <c r="J3" s="70" t="s">
        <v>53</v>
      </c>
      <c r="K3" s="70" t="s">
        <v>54</v>
      </c>
      <c r="L3" s="70" t="s">
        <v>55</v>
      </c>
      <c r="M3" s="122"/>
      <c r="N3" s="71"/>
      <c r="P3" s="68" t="s">
        <v>45</v>
      </c>
    </row>
    <row r="4" spans="1:17" x14ac:dyDescent="0.25">
      <c r="A4" t="s">
        <v>56</v>
      </c>
      <c r="C4" s="72">
        <v>7</v>
      </c>
      <c r="D4" s="72">
        <v>8</v>
      </c>
      <c r="E4" s="72">
        <v>8</v>
      </c>
      <c r="F4" s="72">
        <v>8</v>
      </c>
      <c r="G4" s="72">
        <v>8</v>
      </c>
      <c r="H4" s="72">
        <v>8</v>
      </c>
      <c r="I4" s="72">
        <v>7</v>
      </c>
      <c r="J4" s="73">
        <v>8</v>
      </c>
      <c r="K4" s="73">
        <v>8</v>
      </c>
      <c r="L4" s="73">
        <v>8</v>
      </c>
      <c r="M4" s="73">
        <f>SUM(C4:L4)</f>
        <v>78</v>
      </c>
      <c r="N4" s="74" t="s">
        <v>57</v>
      </c>
      <c r="P4" s="75">
        <f>SUM(C4:G4)</f>
        <v>39</v>
      </c>
      <c r="Q4" s="75"/>
    </row>
    <row r="5" spans="1:17" ht="16.5" thickBot="1" x14ac:dyDescent="0.3">
      <c r="A5" t="s">
        <v>58</v>
      </c>
      <c r="C5" s="72">
        <v>2</v>
      </c>
      <c r="D5" s="72">
        <v>2</v>
      </c>
      <c r="E5" s="72">
        <v>3</v>
      </c>
      <c r="F5" s="72">
        <v>2</v>
      </c>
      <c r="G5" s="72">
        <v>2</v>
      </c>
      <c r="H5" s="72">
        <v>3</v>
      </c>
      <c r="I5" s="72">
        <v>3</v>
      </c>
      <c r="J5" s="73">
        <v>3</v>
      </c>
      <c r="K5" s="73">
        <v>3</v>
      </c>
      <c r="L5" s="73">
        <v>3</v>
      </c>
      <c r="M5" s="73">
        <f>SUM(C5:L5)</f>
        <v>26</v>
      </c>
      <c r="N5" s="74" t="s">
        <v>59</v>
      </c>
      <c r="P5" s="75">
        <f>SUM(C5:G5)</f>
        <v>11</v>
      </c>
    </row>
    <row r="6" spans="1:17" ht="16.5" thickBot="1" x14ac:dyDescent="0.3">
      <c r="A6" s="76" t="s">
        <v>60</v>
      </c>
      <c r="C6" s="77">
        <f>C4*(206.5+1.6)</f>
        <v>1456.7</v>
      </c>
      <c r="D6" s="77">
        <f t="shared" ref="D6:L6" si="0">D4*(206.5+1.6)</f>
        <v>1664.8</v>
      </c>
      <c r="E6" s="77">
        <f t="shared" si="0"/>
        <v>1664.8</v>
      </c>
      <c r="F6" s="77">
        <f t="shared" si="0"/>
        <v>1664.8</v>
      </c>
      <c r="G6" s="77">
        <f t="shared" si="0"/>
        <v>1664.8</v>
      </c>
      <c r="H6" s="77">
        <f t="shared" si="0"/>
        <v>1664.8</v>
      </c>
      <c r="I6" s="77">
        <f t="shared" si="0"/>
        <v>1456.7</v>
      </c>
      <c r="J6" s="71">
        <f t="shared" si="0"/>
        <v>1664.8</v>
      </c>
      <c r="K6" s="71">
        <f t="shared" si="0"/>
        <v>1664.8</v>
      </c>
      <c r="L6" s="71">
        <f t="shared" si="0"/>
        <v>1664.8</v>
      </c>
      <c r="M6" s="71">
        <f t="shared" ref="M6:M15" si="1">SUM(C6:L6)</f>
        <v>16231.8</v>
      </c>
    </row>
    <row r="7" spans="1:17" ht="16.5" thickBot="1" x14ac:dyDescent="0.3">
      <c r="A7" s="69" t="s">
        <v>61</v>
      </c>
      <c r="C7" s="77">
        <f>C5*115</f>
        <v>230</v>
      </c>
      <c r="D7" s="77">
        <f t="shared" ref="D7:L7" si="2">D5*115</f>
        <v>230</v>
      </c>
      <c r="E7" s="77">
        <f>E5*115</f>
        <v>345</v>
      </c>
      <c r="F7" s="77">
        <f t="shared" si="2"/>
        <v>230</v>
      </c>
      <c r="G7" s="77">
        <f t="shared" si="2"/>
        <v>230</v>
      </c>
      <c r="H7" s="77">
        <f t="shared" si="2"/>
        <v>345</v>
      </c>
      <c r="I7" s="77">
        <f t="shared" si="2"/>
        <v>345</v>
      </c>
      <c r="J7" s="71">
        <f t="shared" si="2"/>
        <v>345</v>
      </c>
      <c r="K7" s="71">
        <f t="shared" si="2"/>
        <v>345</v>
      </c>
      <c r="L7" s="71">
        <f t="shared" si="2"/>
        <v>345</v>
      </c>
      <c r="M7" s="71">
        <f>SUM(C7:L7)</f>
        <v>2990</v>
      </c>
      <c r="N7" s="78">
        <f>SUM(M6:M7)</f>
        <v>19221.8</v>
      </c>
      <c r="O7" s="79" t="s">
        <v>62</v>
      </c>
    </row>
    <row r="8" spans="1:17" ht="16.5" thickBot="1" x14ac:dyDescent="0.3">
      <c r="A8" s="80" t="s">
        <v>63</v>
      </c>
      <c r="C8" s="81">
        <v>0</v>
      </c>
      <c r="D8" s="81">
        <f>335.7</f>
        <v>335.7</v>
      </c>
      <c r="E8" s="81">
        <v>0</v>
      </c>
      <c r="F8" s="81">
        <v>0</v>
      </c>
      <c r="G8" s="81">
        <f>16.8*3</f>
        <v>50.400000000000006</v>
      </c>
      <c r="H8" s="81">
        <v>252.1</v>
      </c>
      <c r="I8" s="81">
        <v>335.7</v>
      </c>
      <c r="J8" s="82">
        <v>0</v>
      </c>
      <c r="K8" s="82">
        <v>335.7</v>
      </c>
      <c r="L8" s="82">
        <v>0</v>
      </c>
      <c r="M8" s="77">
        <f t="shared" si="1"/>
        <v>1309.6000000000001</v>
      </c>
      <c r="N8" s="83">
        <f>M8/16.8</f>
        <v>77.952380952380963</v>
      </c>
    </row>
    <row r="9" spans="1:17" ht="32.25" thickBot="1" x14ac:dyDescent="0.3">
      <c r="A9" s="80" t="s">
        <v>64</v>
      </c>
      <c r="C9" s="71">
        <f>20*16.784</f>
        <v>335.67999999999995</v>
      </c>
      <c r="D9" s="71">
        <v>0</v>
      </c>
      <c r="E9" s="71">
        <f>335.7+83.9</f>
        <v>419.6</v>
      </c>
      <c r="F9" s="71">
        <v>0</v>
      </c>
      <c r="G9" s="71">
        <v>0</v>
      </c>
      <c r="H9" s="83">
        <v>0</v>
      </c>
      <c r="I9" s="71">
        <v>0</v>
      </c>
      <c r="J9" s="71">
        <v>0</v>
      </c>
      <c r="K9" s="71">
        <v>0</v>
      </c>
      <c r="L9" s="71">
        <v>0</v>
      </c>
      <c r="M9" s="71">
        <f t="shared" si="1"/>
        <v>755.28</v>
      </c>
      <c r="P9" s="71"/>
    </row>
    <row r="10" spans="1:17" ht="16.5" thickBot="1" x14ac:dyDescent="0.3">
      <c r="A10" s="69" t="s">
        <v>65</v>
      </c>
      <c r="C10" s="71">
        <v>0</v>
      </c>
      <c r="D10">
        <v>0</v>
      </c>
      <c r="E10" s="71">
        <v>100</v>
      </c>
      <c r="F10" s="71">
        <v>0</v>
      </c>
      <c r="G10" s="71">
        <v>0</v>
      </c>
      <c r="H10" s="71">
        <v>0</v>
      </c>
      <c r="I10" s="71">
        <v>0</v>
      </c>
      <c r="J10" s="71">
        <v>0</v>
      </c>
      <c r="K10" s="71">
        <v>0</v>
      </c>
      <c r="L10" s="71">
        <v>0</v>
      </c>
      <c r="M10" s="71">
        <f t="shared" si="1"/>
        <v>100</v>
      </c>
      <c r="N10" s="71"/>
    </row>
    <row r="11" spans="1:17" ht="16.5" thickBot="1" x14ac:dyDescent="0.3">
      <c r="A11" s="69" t="s">
        <v>66</v>
      </c>
      <c r="C11" s="82">
        <v>0</v>
      </c>
      <c r="D11" s="82">
        <f>88+21*3</f>
        <v>151</v>
      </c>
      <c r="E11" s="82">
        <v>0</v>
      </c>
      <c r="F11" s="82">
        <v>264</v>
      </c>
      <c r="G11" s="82">
        <f>F4*6</f>
        <v>48</v>
      </c>
      <c r="H11" s="82">
        <f>(G4)*6</f>
        <v>48</v>
      </c>
      <c r="I11" s="82">
        <f>86+H4*6</f>
        <v>134</v>
      </c>
      <c r="J11" s="82">
        <f>I4*6</f>
        <v>42</v>
      </c>
      <c r="K11" s="82">
        <f t="shared" ref="K11" si="3">J4*6</f>
        <v>48</v>
      </c>
      <c r="L11" s="82">
        <f>(K4+L4)*6</f>
        <v>96</v>
      </c>
      <c r="M11" s="71">
        <f t="shared" si="1"/>
        <v>831</v>
      </c>
      <c r="P11" s="71"/>
    </row>
    <row r="12" spans="1:17" ht="16.5" thickBot="1" x14ac:dyDescent="0.3">
      <c r="A12" s="69" t="s">
        <v>67</v>
      </c>
      <c r="C12" s="71">
        <v>0</v>
      </c>
      <c r="D12" s="71">
        <v>112.5</v>
      </c>
      <c r="E12" s="71">
        <v>0</v>
      </c>
      <c r="F12" s="71">
        <v>0</v>
      </c>
      <c r="G12" s="71">
        <v>0</v>
      </c>
      <c r="H12" s="71">
        <v>112.5</v>
      </c>
      <c r="I12" s="71">
        <v>0</v>
      </c>
      <c r="J12" s="71">
        <v>0</v>
      </c>
      <c r="K12" s="71">
        <v>0</v>
      </c>
      <c r="L12" s="71">
        <v>0</v>
      </c>
      <c r="M12" s="71">
        <f t="shared" si="1"/>
        <v>225</v>
      </c>
      <c r="P12" s="71"/>
    </row>
    <row r="13" spans="1:17" ht="16.5" thickBot="1" x14ac:dyDescent="0.3">
      <c r="A13" s="69" t="s">
        <v>68</v>
      </c>
      <c r="C13" s="71">
        <v>0</v>
      </c>
      <c r="D13" s="71">
        <v>10</v>
      </c>
      <c r="E13" s="71">
        <v>0</v>
      </c>
      <c r="F13" s="71">
        <v>0</v>
      </c>
      <c r="G13" s="71">
        <v>0</v>
      </c>
      <c r="H13" s="71">
        <v>10</v>
      </c>
      <c r="I13" s="71">
        <v>0</v>
      </c>
      <c r="J13" s="71">
        <v>0</v>
      </c>
      <c r="K13" s="71">
        <v>0</v>
      </c>
      <c r="L13" s="71">
        <v>10</v>
      </c>
      <c r="M13" s="71">
        <f t="shared" si="1"/>
        <v>30</v>
      </c>
    </row>
    <row r="14" spans="1:17" ht="16.5" thickBot="1" x14ac:dyDescent="0.3">
      <c r="A14" s="69" t="s">
        <v>69</v>
      </c>
      <c r="C14" s="81">
        <v>447.5</v>
      </c>
      <c r="D14" s="82">
        <v>0</v>
      </c>
      <c r="E14" s="82">
        <v>0</v>
      </c>
      <c r="F14" s="81">
        <v>247.5</v>
      </c>
      <c r="G14" s="82">
        <v>0</v>
      </c>
      <c r="H14" s="82">
        <v>0</v>
      </c>
      <c r="I14" s="82">
        <v>0</v>
      </c>
      <c r="J14" s="82">
        <v>0</v>
      </c>
      <c r="K14" s="82">
        <v>0</v>
      </c>
      <c r="L14" s="82">
        <v>0</v>
      </c>
      <c r="M14" s="71">
        <f t="shared" si="1"/>
        <v>695</v>
      </c>
    </row>
    <row r="15" spans="1:17" ht="16.5" thickBot="1" x14ac:dyDescent="0.3">
      <c r="A15" s="69" t="s">
        <v>70</v>
      </c>
      <c r="C15" s="81">
        <v>164.8</v>
      </c>
      <c r="D15" s="81">
        <v>0</v>
      </c>
      <c r="E15" s="81">
        <v>0</v>
      </c>
      <c r="F15" s="81">
        <f>74.4+E5*5</f>
        <v>89.4</v>
      </c>
      <c r="G15" s="82">
        <f>F5*5</f>
        <v>10</v>
      </c>
      <c r="H15" s="82">
        <f>G5*5</f>
        <v>10</v>
      </c>
      <c r="I15" s="82">
        <f>H5*5</f>
        <v>15</v>
      </c>
      <c r="J15" s="82">
        <f t="shared" ref="J15:K15" si="4">I5*5</f>
        <v>15</v>
      </c>
      <c r="K15" s="82">
        <f t="shared" si="4"/>
        <v>15</v>
      </c>
      <c r="L15" s="82">
        <v>0</v>
      </c>
      <c r="M15" s="71">
        <f t="shared" si="1"/>
        <v>319.20000000000005</v>
      </c>
    </row>
    <row r="16" spans="1:17" ht="16.5" thickBot="1" x14ac:dyDescent="0.3">
      <c r="A16" s="69" t="s">
        <v>45</v>
      </c>
      <c r="C16" s="71">
        <f>SUM(C6:C15)</f>
        <v>2634.6800000000003</v>
      </c>
      <c r="D16" s="71">
        <f t="shared" ref="D16:L16" si="5">SUM(D6:D15)</f>
        <v>2504</v>
      </c>
      <c r="E16" s="71">
        <f t="shared" si="5"/>
        <v>2529.4</v>
      </c>
      <c r="F16" s="71">
        <f t="shared" si="5"/>
        <v>2495.7000000000003</v>
      </c>
      <c r="G16" s="71">
        <f t="shared" si="5"/>
        <v>2003.2</v>
      </c>
      <c r="H16" s="71">
        <f t="shared" si="5"/>
        <v>2442.4</v>
      </c>
      <c r="I16" s="71">
        <f t="shared" si="5"/>
        <v>2286.4</v>
      </c>
      <c r="J16" s="71">
        <f t="shared" si="5"/>
        <v>2066.8000000000002</v>
      </c>
      <c r="K16" s="71">
        <f t="shared" si="5"/>
        <v>2408.5</v>
      </c>
      <c r="L16" s="71">
        <f t="shared" si="5"/>
        <v>2115.8000000000002</v>
      </c>
      <c r="M16" s="84">
        <f>SUM(M6:M15)</f>
        <v>23486.879999999997</v>
      </c>
      <c r="N16" s="71"/>
    </row>
    <row r="18" spans="1:17" hidden="1" x14ac:dyDescent="0.25">
      <c r="C18" s="71"/>
      <c r="D18" s="71"/>
      <c r="E18" s="71"/>
      <c r="G18" s="71"/>
      <c r="H18" s="71"/>
      <c r="I18" s="71"/>
      <c r="K18" s="71"/>
      <c r="P18" s="71"/>
      <c r="Q18" s="71"/>
    </row>
    <row r="19" spans="1:17" hidden="1" x14ac:dyDescent="0.25"/>
    <row r="20" spans="1:17" hidden="1" x14ac:dyDescent="0.25"/>
    <row r="21" spans="1:17" ht="20.25" hidden="1" x14ac:dyDescent="0.25">
      <c r="A21" s="66" t="s">
        <v>71</v>
      </c>
    </row>
    <row r="22" spans="1:17" hidden="1" x14ac:dyDescent="0.25">
      <c r="A22" s="85" t="s">
        <v>72</v>
      </c>
      <c r="C22" s="67">
        <f>C$2</f>
        <v>2021</v>
      </c>
      <c r="D22" s="67">
        <f t="shared" ref="D22:L22" si="6">D$2</f>
        <v>2022</v>
      </c>
      <c r="E22" s="67">
        <f t="shared" si="6"/>
        <v>2023</v>
      </c>
      <c r="F22" s="67">
        <f t="shared" si="6"/>
        <v>2024</v>
      </c>
      <c r="G22" s="67">
        <f t="shared" si="6"/>
        <v>2025</v>
      </c>
      <c r="H22" s="67">
        <f t="shared" si="6"/>
        <v>2026</v>
      </c>
      <c r="I22" s="67">
        <f t="shared" si="6"/>
        <v>2027</v>
      </c>
      <c r="J22" s="67">
        <f t="shared" si="6"/>
        <v>2028</v>
      </c>
      <c r="K22" s="67">
        <f t="shared" si="6"/>
        <v>2029</v>
      </c>
      <c r="L22" s="67">
        <f t="shared" si="6"/>
        <v>2030</v>
      </c>
      <c r="M22" s="121" t="s">
        <v>45</v>
      </c>
    </row>
    <row r="23" spans="1:17" ht="16.5" hidden="1" thickBot="1" x14ac:dyDescent="0.3">
      <c r="C23" s="69" t="str">
        <f>C$3</f>
        <v>64/21</v>
      </c>
      <c r="D23" s="69" t="str">
        <f t="shared" ref="D23:L23" si="7">D$3</f>
        <v>72/24</v>
      </c>
      <c r="E23" s="69" t="str">
        <f t="shared" si="7"/>
        <v>80/26</v>
      </c>
      <c r="F23" s="69" t="str">
        <f t="shared" si="7"/>
        <v>88/29</v>
      </c>
      <c r="G23" s="69" t="str">
        <f t="shared" si="7"/>
        <v>96/31</v>
      </c>
      <c r="H23" s="69" t="str">
        <f t="shared" si="7"/>
        <v>104/34</v>
      </c>
      <c r="I23" s="69" t="str">
        <f t="shared" si="7"/>
        <v>111/37</v>
      </c>
      <c r="J23" s="69" t="str">
        <f t="shared" si="7"/>
        <v>119/40</v>
      </c>
      <c r="K23" s="69" t="str">
        <f t="shared" si="7"/>
        <v>127/43</v>
      </c>
      <c r="L23" s="69" t="str">
        <f t="shared" si="7"/>
        <v>135/45</v>
      </c>
      <c r="M23" s="122"/>
    </row>
    <row r="24" spans="1:17" hidden="1" x14ac:dyDescent="0.25">
      <c r="A24" t="s">
        <v>56</v>
      </c>
      <c r="C24" s="73">
        <f>C$4</f>
        <v>7</v>
      </c>
      <c r="D24" s="73">
        <f t="shared" ref="D24:L24" si="8">D$4</f>
        <v>8</v>
      </c>
      <c r="E24" s="73">
        <f t="shared" si="8"/>
        <v>8</v>
      </c>
      <c r="F24" s="73">
        <f t="shared" si="8"/>
        <v>8</v>
      </c>
      <c r="G24" s="73">
        <f t="shared" si="8"/>
        <v>8</v>
      </c>
      <c r="H24" s="73">
        <f t="shared" si="8"/>
        <v>8</v>
      </c>
      <c r="I24" s="73">
        <f t="shared" si="8"/>
        <v>7</v>
      </c>
      <c r="J24" s="73">
        <f t="shared" si="8"/>
        <v>8</v>
      </c>
      <c r="K24" s="73">
        <f t="shared" si="8"/>
        <v>8</v>
      </c>
      <c r="L24" s="73">
        <f t="shared" si="8"/>
        <v>8</v>
      </c>
      <c r="M24" s="73">
        <f>SUM(C24:L24)</f>
        <v>78</v>
      </c>
      <c r="N24" s="74" t="s">
        <v>57</v>
      </c>
    </row>
    <row r="25" spans="1:17" hidden="1" x14ac:dyDescent="0.25">
      <c r="A25" t="s">
        <v>58</v>
      </c>
      <c r="C25" s="73">
        <f>C$5</f>
        <v>2</v>
      </c>
      <c r="D25" s="73">
        <f t="shared" ref="D25:L25" si="9">D$5</f>
        <v>2</v>
      </c>
      <c r="E25" s="73">
        <f t="shared" si="9"/>
        <v>3</v>
      </c>
      <c r="F25" s="73">
        <f t="shared" si="9"/>
        <v>2</v>
      </c>
      <c r="G25" s="73">
        <f t="shared" si="9"/>
        <v>2</v>
      </c>
      <c r="H25" s="73">
        <f t="shared" si="9"/>
        <v>3</v>
      </c>
      <c r="I25" s="73">
        <f t="shared" si="9"/>
        <v>3</v>
      </c>
      <c r="J25" s="73">
        <f t="shared" si="9"/>
        <v>3</v>
      </c>
      <c r="K25" s="73">
        <f t="shared" si="9"/>
        <v>3</v>
      </c>
      <c r="L25" s="73">
        <f t="shared" si="9"/>
        <v>3</v>
      </c>
      <c r="M25" s="73">
        <f>SUM(C25:L25)</f>
        <v>26</v>
      </c>
      <c r="N25" s="74" t="s">
        <v>59</v>
      </c>
    </row>
    <row r="26" spans="1:17" ht="16.5" hidden="1" thickBot="1" x14ac:dyDescent="0.3">
      <c r="A26" s="76" t="s">
        <v>60</v>
      </c>
      <c r="C26" s="71">
        <f>C6*1.015^(C$2-2020)</f>
        <v>1478.5504999999998</v>
      </c>
      <c r="D26" s="71">
        <f t="shared" ref="D26:L26" si="10">D6*1.015^(D$2-2020)</f>
        <v>1715.1185799999994</v>
      </c>
      <c r="E26" s="71">
        <f t="shared" si="10"/>
        <v>1740.8453586999992</v>
      </c>
      <c r="F26" s="71">
        <f t="shared" si="10"/>
        <v>1766.958039080499</v>
      </c>
      <c r="G26" s="71">
        <f t="shared" si="10"/>
        <v>1793.4624096667062</v>
      </c>
      <c r="H26" s="71">
        <f t="shared" si="10"/>
        <v>1820.3643458117065</v>
      </c>
      <c r="I26" s="71">
        <f t="shared" si="10"/>
        <v>1616.7110846240216</v>
      </c>
      <c r="J26" s="71">
        <f t="shared" si="10"/>
        <v>1875.3848581638649</v>
      </c>
      <c r="K26" s="71">
        <f t="shared" si="10"/>
        <v>1903.5156310363227</v>
      </c>
      <c r="L26" s="71">
        <f t="shared" si="10"/>
        <v>1932.0683655018672</v>
      </c>
      <c r="M26" s="71">
        <f>SUM(C26:L26)</f>
        <v>17642.979172584983</v>
      </c>
    </row>
    <row r="27" spans="1:17" ht="16.5" hidden="1" thickBot="1" x14ac:dyDescent="0.3">
      <c r="A27" s="69" t="s">
        <v>61</v>
      </c>
      <c r="C27" s="71">
        <f t="shared" ref="C27:L28" si="11">C7*1.015^(C$2-2019)</f>
        <v>236.95174999999995</v>
      </c>
      <c r="D27" s="71">
        <f t="shared" si="11"/>
        <v>240.50602624999991</v>
      </c>
      <c r="E27" s="71">
        <f t="shared" si="11"/>
        <v>366.17042496562482</v>
      </c>
      <c r="F27" s="71">
        <f t="shared" si="11"/>
        <v>247.77532089340608</v>
      </c>
      <c r="G27" s="71">
        <f t="shared" si="11"/>
        <v>251.49195070680713</v>
      </c>
      <c r="H27" s="71">
        <f t="shared" si="11"/>
        <v>382.89649495111377</v>
      </c>
      <c r="I27" s="71">
        <f t="shared" si="11"/>
        <v>388.63994237538049</v>
      </c>
      <c r="J27" s="71">
        <f t="shared" si="11"/>
        <v>394.46954151101113</v>
      </c>
      <c r="K27" s="71">
        <f t="shared" si="11"/>
        <v>400.38658463367625</v>
      </c>
      <c r="L27" s="71">
        <f t="shared" si="11"/>
        <v>406.39238340318133</v>
      </c>
      <c r="M27" s="71">
        <f>SUM(C27:L27)</f>
        <v>3315.6804196902008</v>
      </c>
      <c r="N27" s="78">
        <f>SUM(M26:M27)</f>
        <v>20958.659592275184</v>
      </c>
      <c r="O27" s="79" t="s">
        <v>62</v>
      </c>
    </row>
    <row r="28" spans="1:17" ht="16.5" hidden="1" thickBot="1" x14ac:dyDescent="0.3">
      <c r="A28" s="80" t="s">
        <v>63</v>
      </c>
      <c r="C28" s="71">
        <f t="shared" si="11"/>
        <v>0</v>
      </c>
      <c r="D28" s="71">
        <f t="shared" si="11"/>
        <v>351.03423048749988</v>
      </c>
      <c r="E28" s="71">
        <f t="shared" si="11"/>
        <v>0</v>
      </c>
      <c r="F28" s="71">
        <f t="shared" si="11"/>
        <v>0</v>
      </c>
      <c r="G28" s="71">
        <f t="shared" si="11"/>
        <v>55.109540502709045</v>
      </c>
      <c r="H28" s="71">
        <f t="shared" si="11"/>
        <v>279.79190254253848</v>
      </c>
      <c r="I28" s="71">
        <f t="shared" si="11"/>
        <v>378.1635613200441</v>
      </c>
      <c r="J28" s="71">
        <f t="shared" si="11"/>
        <v>0</v>
      </c>
      <c r="K28" s="71">
        <f t="shared" si="11"/>
        <v>389.59355496094236</v>
      </c>
      <c r="L28" s="71">
        <f t="shared" si="11"/>
        <v>0</v>
      </c>
      <c r="M28" s="71">
        <f t="shared" ref="M28:M35" si="12">SUM(C28:L28)</f>
        <v>1453.692789813734</v>
      </c>
    </row>
    <row r="29" spans="1:17" ht="32.25" hidden="1" thickBot="1" x14ac:dyDescent="0.3">
      <c r="A29" s="80" t="s">
        <v>64</v>
      </c>
      <c r="C29" s="71">
        <f>C9*1.015^(C$2-2020)</f>
        <v>340.71519999999992</v>
      </c>
      <c r="D29" s="71">
        <f t="shared" ref="D29:L29" si="13">D9*1.015^(D$2-2020)</f>
        <v>0</v>
      </c>
      <c r="E29" s="71">
        <f t="shared" si="13"/>
        <v>438.76664614999987</v>
      </c>
      <c r="F29" s="71">
        <f t="shared" si="13"/>
        <v>0</v>
      </c>
      <c r="G29" s="71">
        <f>G9*1.015^(G$2-2020)</f>
        <v>0</v>
      </c>
      <c r="H29" s="71">
        <f t="shared" si="13"/>
        <v>0</v>
      </c>
      <c r="I29" s="71">
        <f t="shared" si="13"/>
        <v>0</v>
      </c>
      <c r="J29" s="71">
        <f t="shared" si="13"/>
        <v>0</v>
      </c>
      <c r="K29" s="71">
        <f t="shared" si="13"/>
        <v>0</v>
      </c>
      <c r="L29" s="71">
        <f t="shared" si="13"/>
        <v>0</v>
      </c>
      <c r="M29" s="71">
        <f t="shared" si="12"/>
        <v>779.4818461499998</v>
      </c>
      <c r="O29" s="86">
        <v>779.5</v>
      </c>
    </row>
    <row r="30" spans="1:17" ht="16.5" hidden="1" thickBot="1" x14ac:dyDescent="0.3">
      <c r="A30" s="69" t="s">
        <v>65</v>
      </c>
      <c r="C30" s="71">
        <f t="shared" ref="C30:E35" si="14">C10*1.015^(C$2-2019)</f>
        <v>0</v>
      </c>
      <c r="D30">
        <v>0</v>
      </c>
      <c r="E30" s="71">
        <f>E$10*1.015^(D$2-2019)</f>
        <v>104.56783749999997</v>
      </c>
      <c r="F30" s="71">
        <f t="shared" ref="F30:L35" si="15">F10*1.015^(F$2-2019)</f>
        <v>0</v>
      </c>
      <c r="G30" s="71">
        <f t="shared" si="15"/>
        <v>0</v>
      </c>
      <c r="H30" s="71">
        <f t="shared" si="15"/>
        <v>0</v>
      </c>
      <c r="I30" s="71">
        <f t="shared" si="15"/>
        <v>0</v>
      </c>
      <c r="J30" s="71">
        <f t="shared" si="15"/>
        <v>0</v>
      </c>
      <c r="K30" s="71">
        <f t="shared" si="15"/>
        <v>0</v>
      </c>
      <c r="L30" s="71">
        <f t="shared" si="15"/>
        <v>0</v>
      </c>
      <c r="M30" s="71">
        <f t="shared" si="12"/>
        <v>104.56783749999997</v>
      </c>
      <c r="N30" s="71">
        <f>SUM(M28:M30)</f>
        <v>2337.7424734637334</v>
      </c>
    </row>
    <row r="31" spans="1:17" ht="16.5" hidden="1" thickBot="1" x14ac:dyDescent="0.3">
      <c r="A31" s="69" t="s">
        <v>66</v>
      </c>
      <c r="C31" s="71">
        <f t="shared" si="14"/>
        <v>0</v>
      </c>
      <c r="D31" s="71">
        <f t="shared" si="14"/>
        <v>157.89743462499993</v>
      </c>
      <c r="E31" s="71">
        <f t="shared" si="14"/>
        <v>0</v>
      </c>
      <c r="F31" s="71">
        <f t="shared" si="15"/>
        <v>284.4029770254748</v>
      </c>
      <c r="G31" s="71">
        <f t="shared" si="15"/>
        <v>52.485276669246701</v>
      </c>
      <c r="H31" s="71">
        <f t="shared" si="15"/>
        <v>53.272555819285401</v>
      </c>
      <c r="I31" s="71">
        <f t="shared" si="15"/>
        <v>150.95000660377096</v>
      </c>
      <c r="J31" s="71">
        <f t="shared" si="15"/>
        <v>48.022378966557874</v>
      </c>
      <c r="K31" s="71">
        <f t="shared" si="15"/>
        <v>55.705959601207127</v>
      </c>
      <c r="L31" s="71">
        <f t="shared" si="15"/>
        <v>113.08309799045045</v>
      </c>
      <c r="M31" s="71">
        <f t="shared" si="12"/>
        <v>915.81968730099322</v>
      </c>
    </row>
    <row r="32" spans="1:17" ht="16.5" hidden="1" thickBot="1" x14ac:dyDescent="0.3">
      <c r="A32" s="69" t="s">
        <v>67</v>
      </c>
      <c r="C32" s="71">
        <f t="shared" si="14"/>
        <v>0</v>
      </c>
      <c r="D32" s="71">
        <f t="shared" si="14"/>
        <v>117.63881718749995</v>
      </c>
      <c r="E32" s="71">
        <f t="shared" si="14"/>
        <v>0</v>
      </c>
      <c r="F32" s="71">
        <f t="shared" si="15"/>
        <v>0</v>
      </c>
      <c r="G32" s="71">
        <f t="shared" si="15"/>
        <v>0</v>
      </c>
      <c r="H32" s="71">
        <f t="shared" si="15"/>
        <v>124.85755270145015</v>
      </c>
      <c r="I32" s="71">
        <f t="shared" si="15"/>
        <v>0</v>
      </c>
      <c r="J32" s="71">
        <f t="shared" si="15"/>
        <v>0</v>
      </c>
      <c r="K32" s="71">
        <f t="shared" si="15"/>
        <v>0</v>
      </c>
      <c r="L32" s="71">
        <f t="shared" si="15"/>
        <v>0</v>
      </c>
      <c r="M32" s="71">
        <f t="shared" si="12"/>
        <v>242.49636988895008</v>
      </c>
    </row>
    <row r="33" spans="1:15" ht="16.5" hidden="1" thickBot="1" x14ac:dyDescent="0.3">
      <c r="A33" s="69" t="s">
        <v>68</v>
      </c>
      <c r="C33" s="71">
        <f t="shared" si="14"/>
        <v>0</v>
      </c>
      <c r="D33" s="71">
        <f t="shared" si="14"/>
        <v>10.456783749999996</v>
      </c>
      <c r="E33" s="71">
        <f t="shared" si="14"/>
        <v>0</v>
      </c>
      <c r="F33" s="71">
        <f t="shared" si="15"/>
        <v>0</v>
      </c>
      <c r="G33" s="71">
        <f t="shared" si="15"/>
        <v>0</v>
      </c>
      <c r="H33" s="71">
        <f t="shared" si="15"/>
        <v>11.098449129017791</v>
      </c>
      <c r="I33" s="71">
        <f t="shared" si="15"/>
        <v>0</v>
      </c>
      <c r="J33" s="71">
        <f t="shared" si="15"/>
        <v>0</v>
      </c>
      <c r="K33" s="71">
        <f t="shared" si="15"/>
        <v>0</v>
      </c>
      <c r="L33" s="71">
        <f t="shared" si="15"/>
        <v>11.779489374005257</v>
      </c>
      <c r="M33" s="71">
        <f t="shared" si="12"/>
        <v>33.334722253023045</v>
      </c>
    </row>
    <row r="34" spans="1:15" ht="16.5" hidden="1" thickBot="1" x14ac:dyDescent="0.3">
      <c r="A34" s="69" t="s">
        <v>69</v>
      </c>
      <c r="C34" s="71">
        <f>C14*1.015^(C$2-2019)</f>
        <v>461.02568749999989</v>
      </c>
      <c r="D34" s="71">
        <f t="shared" si="14"/>
        <v>0</v>
      </c>
      <c r="E34" s="71">
        <f t="shared" si="14"/>
        <v>0</v>
      </c>
      <c r="F34" s="71">
        <f t="shared" si="15"/>
        <v>266.62779096138263</v>
      </c>
      <c r="G34" s="71">
        <f t="shared" si="15"/>
        <v>0</v>
      </c>
      <c r="H34" s="71">
        <f t="shared" si="15"/>
        <v>0</v>
      </c>
      <c r="I34" s="71">
        <f t="shared" si="15"/>
        <v>0</v>
      </c>
      <c r="J34" s="71">
        <f t="shared" si="15"/>
        <v>0</v>
      </c>
      <c r="K34" s="71">
        <f t="shared" si="15"/>
        <v>0</v>
      </c>
      <c r="L34" s="71">
        <f t="shared" si="15"/>
        <v>0</v>
      </c>
      <c r="M34" s="71">
        <f t="shared" si="12"/>
        <v>727.65347846138252</v>
      </c>
    </row>
    <row r="35" spans="1:15" ht="16.5" hidden="1" thickBot="1" x14ac:dyDescent="0.3">
      <c r="A35" s="69" t="s">
        <v>70</v>
      </c>
      <c r="C35" s="71">
        <f t="shared" si="14"/>
        <v>169.78107999999997</v>
      </c>
      <c r="D35" s="71">
        <f t="shared" si="14"/>
        <v>0</v>
      </c>
      <c r="E35" s="71">
        <f t="shared" si="14"/>
        <v>0</v>
      </c>
      <c r="F35" s="71">
        <f t="shared" si="15"/>
        <v>96.309189947263064</v>
      </c>
      <c r="G35" s="71">
        <f t="shared" si="15"/>
        <v>10.934432639426397</v>
      </c>
      <c r="H35" s="71">
        <f t="shared" si="15"/>
        <v>11.098449129017791</v>
      </c>
      <c r="I35" s="71">
        <f t="shared" si="15"/>
        <v>16.897388798929587</v>
      </c>
      <c r="J35" s="71">
        <f t="shared" si="15"/>
        <v>17.150849630913527</v>
      </c>
      <c r="K35" s="71">
        <f t="shared" si="15"/>
        <v>17.408112375377229</v>
      </c>
      <c r="L35" s="71">
        <f t="shared" si="15"/>
        <v>0</v>
      </c>
      <c r="M35" s="71">
        <f t="shared" si="12"/>
        <v>339.57950252092758</v>
      </c>
    </row>
    <row r="36" spans="1:15" ht="16.5" hidden="1" thickBot="1" x14ac:dyDescent="0.3">
      <c r="A36" s="69" t="s">
        <v>45</v>
      </c>
      <c r="C36" s="71">
        <f>SUM(C26:C35)</f>
        <v>2687.0242174999994</v>
      </c>
      <c r="D36" s="71">
        <f t="shared" ref="D36:L36" si="16">SUM(D26:D35)</f>
        <v>2592.651872299999</v>
      </c>
      <c r="E36" s="71">
        <f t="shared" si="16"/>
        <v>2650.3502673156236</v>
      </c>
      <c r="F36" s="71">
        <f t="shared" si="16"/>
        <v>2662.0733179080257</v>
      </c>
      <c r="G36" s="71">
        <f t="shared" si="16"/>
        <v>2163.483610184895</v>
      </c>
      <c r="H36" s="71">
        <f t="shared" si="16"/>
        <v>2683.3797500841301</v>
      </c>
      <c r="I36" s="71">
        <f t="shared" si="16"/>
        <v>2551.3619837221468</v>
      </c>
      <c r="J36" s="71">
        <f t="shared" si="16"/>
        <v>2335.0276282723471</v>
      </c>
      <c r="K36" s="71">
        <f t="shared" si="16"/>
        <v>2766.6098426075259</v>
      </c>
      <c r="L36" s="71">
        <f t="shared" si="16"/>
        <v>2463.3233362695041</v>
      </c>
      <c r="M36" s="84">
        <f>SUM(C36:L36)</f>
        <v>25555.285826164196</v>
      </c>
      <c r="N36" s="71">
        <f>SUM(M26:M35)</f>
        <v>25555.285826164196</v>
      </c>
    </row>
    <row r="37" spans="1:15" hidden="1" x14ac:dyDescent="0.25"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</row>
    <row r="38" spans="1:15" x14ac:dyDescent="0.25"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5" ht="21" thickBot="1" x14ac:dyDescent="0.3">
      <c r="A39" s="66" t="s">
        <v>73</v>
      </c>
    </row>
    <row r="40" spans="1:15" x14ac:dyDescent="0.25">
      <c r="A40" s="85" t="s">
        <v>72</v>
      </c>
      <c r="C40" s="67">
        <f>C$2</f>
        <v>2021</v>
      </c>
      <c r="D40" s="67">
        <f t="shared" ref="D40:L40" si="17">D$2</f>
        <v>2022</v>
      </c>
      <c r="E40" s="67">
        <f t="shared" si="17"/>
        <v>2023</v>
      </c>
      <c r="F40" s="67">
        <f t="shared" si="17"/>
        <v>2024</v>
      </c>
      <c r="G40" s="67">
        <f t="shared" si="17"/>
        <v>2025</v>
      </c>
      <c r="H40" s="67">
        <f t="shared" si="17"/>
        <v>2026</v>
      </c>
      <c r="I40" s="67">
        <f t="shared" si="17"/>
        <v>2027</v>
      </c>
      <c r="J40" s="67">
        <f t="shared" si="17"/>
        <v>2028</v>
      </c>
      <c r="K40" s="67">
        <f t="shared" si="17"/>
        <v>2029</v>
      </c>
      <c r="L40" s="67">
        <f t="shared" si="17"/>
        <v>2030</v>
      </c>
      <c r="M40" s="121" t="s">
        <v>45</v>
      </c>
    </row>
    <row r="41" spans="1:15" ht="16.5" thickBot="1" x14ac:dyDescent="0.3">
      <c r="C41" s="87" t="str">
        <f>C$3</f>
        <v>64/21</v>
      </c>
      <c r="D41" s="87" t="str">
        <f t="shared" ref="D41:L41" si="18">D$3</f>
        <v>72/24</v>
      </c>
      <c r="E41" s="87" t="str">
        <f t="shared" si="18"/>
        <v>80/26</v>
      </c>
      <c r="F41" s="87" t="str">
        <f t="shared" si="18"/>
        <v>88/29</v>
      </c>
      <c r="G41" s="87" t="str">
        <f t="shared" si="18"/>
        <v>96/31</v>
      </c>
      <c r="H41" s="87" t="str">
        <f t="shared" si="18"/>
        <v>104/34</v>
      </c>
      <c r="I41" s="87" t="str">
        <f t="shared" si="18"/>
        <v>111/37</v>
      </c>
      <c r="J41" s="87" t="str">
        <f t="shared" si="18"/>
        <v>119/40</v>
      </c>
      <c r="K41" s="87" t="str">
        <f t="shared" si="18"/>
        <v>127/43</v>
      </c>
      <c r="L41" s="87" t="str">
        <f t="shared" si="18"/>
        <v>135/45</v>
      </c>
      <c r="M41" s="123"/>
    </row>
    <row r="42" spans="1:15" x14ac:dyDescent="0.25">
      <c r="A42" t="s">
        <v>56</v>
      </c>
      <c r="C42" s="88">
        <f>C$4</f>
        <v>7</v>
      </c>
      <c r="D42" s="89">
        <f t="shared" ref="D42:L42" si="19">D$4</f>
        <v>8</v>
      </c>
      <c r="E42" s="89">
        <f t="shared" si="19"/>
        <v>8</v>
      </c>
      <c r="F42" s="89">
        <f t="shared" si="19"/>
        <v>8</v>
      </c>
      <c r="G42" s="90">
        <f t="shared" si="19"/>
        <v>8</v>
      </c>
      <c r="H42" s="88">
        <f t="shared" si="19"/>
        <v>8</v>
      </c>
      <c r="I42" s="89">
        <f t="shared" si="19"/>
        <v>7</v>
      </c>
      <c r="J42" s="89">
        <f t="shared" si="19"/>
        <v>8</v>
      </c>
      <c r="K42" s="89">
        <f t="shared" si="19"/>
        <v>8</v>
      </c>
      <c r="L42" s="90">
        <f t="shared" si="19"/>
        <v>8</v>
      </c>
      <c r="M42" s="91">
        <f>SUM(C42:L42)</f>
        <v>78</v>
      </c>
      <c r="N42" s="74" t="s">
        <v>57</v>
      </c>
    </row>
    <row r="43" spans="1:15" ht="16.5" thickBot="1" x14ac:dyDescent="0.3">
      <c r="A43" t="s">
        <v>58</v>
      </c>
      <c r="C43" s="92">
        <v>2</v>
      </c>
      <c r="D43" s="93">
        <f t="shared" ref="D43:L43" si="20">D$5</f>
        <v>2</v>
      </c>
      <c r="E43" s="93">
        <f t="shared" si="20"/>
        <v>3</v>
      </c>
      <c r="F43" s="93">
        <f t="shared" si="20"/>
        <v>2</v>
      </c>
      <c r="G43" s="94">
        <f t="shared" si="20"/>
        <v>2</v>
      </c>
      <c r="H43" s="92">
        <f t="shared" si="20"/>
        <v>3</v>
      </c>
      <c r="I43" s="93">
        <f t="shared" si="20"/>
        <v>3</v>
      </c>
      <c r="J43" s="93">
        <f t="shared" si="20"/>
        <v>3</v>
      </c>
      <c r="K43" s="93">
        <f t="shared" si="20"/>
        <v>3</v>
      </c>
      <c r="L43" s="94">
        <f t="shared" si="20"/>
        <v>3</v>
      </c>
      <c r="M43" s="95">
        <f>SUM(C43:L43)</f>
        <v>26</v>
      </c>
      <c r="N43" s="74" t="s">
        <v>59</v>
      </c>
    </row>
    <row r="44" spans="1:15" ht="16.5" thickBot="1" x14ac:dyDescent="0.3">
      <c r="A44" s="76" t="s">
        <v>60</v>
      </c>
      <c r="C44" s="96">
        <f>C42*206.5*1.015^(C40-2020)*(1-(C42-1)*0.03) + C42*1.6*1.015^(C40-2020)</f>
        <v>1214.4576499999998</v>
      </c>
      <c r="D44" s="96">
        <f t="shared" ref="D44:I44" si="21">D42*206.5*1.015^(D40-2020)*(1-(D42-1)*0.03) + D42*1.6*1.015^(D40-2020)</f>
        <v>1357.7129229999998</v>
      </c>
      <c r="E44" s="96">
        <f t="shared" si="21"/>
        <v>1378.0786168449995</v>
      </c>
      <c r="F44" s="96">
        <f t="shared" si="21"/>
        <v>1398.7497960976743</v>
      </c>
      <c r="G44" s="96">
        <f t="shared" si="21"/>
        <v>1419.7310430391392</v>
      </c>
      <c r="H44" s="96">
        <f t="shared" si="21"/>
        <v>1441.0270086847263</v>
      </c>
      <c r="I44" s="96">
        <f t="shared" si="21"/>
        <v>1327.9405367361078</v>
      </c>
      <c r="J44" s="96">
        <f>J42*206.5*1.015^(J40-2020)*(1-(J42-2)*0.03) + J42*1.6*1.015^(J40-2020)</f>
        <v>1540.4110226138848</v>
      </c>
      <c r="K44" s="96">
        <f>K42*206.5*1.015^(K40-2020)*(1-(K42-2)*0.03) + K42*1.6*1.015^(K40-2020)</f>
        <v>1563.5171879530931</v>
      </c>
      <c r="L44" s="96">
        <f>L42*206.5*1.015^(L40-2020)*(1-(L42-2)*0.03) + L42*1.6*1.015^(L40-2020)</f>
        <v>1586.9699457723893</v>
      </c>
      <c r="M44" s="97">
        <f>SUM(C44:L44)</f>
        <v>14228.595730742014</v>
      </c>
      <c r="N44" s="124">
        <f>SUM(M44:M45)</f>
        <v>17320.018245151703</v>
      </c>
      <c r="O44" s="120" t="s">
        <v>74</v>
      </c>
    </row>
    <row r="45" spans="1:15" ht="16.5" thickBot="1" x14ac:dyDescent="0.3">
      <c r="A45" s="69" t="s">
        <v>61</v>
      </c>
      <c r="C45" s="96">
        <f>C43*115*1.015^(C40-2019)*(1-(0.025*C43))</f>
        <v>225.10416249999994</v>
      </c>
      <c r="D45" s="96">
        <f t="shared" ref="D45:L45" si="22">D43*115*1.015^(D40-2019)*(1-(0.025*D43))</f>
        <v>228.4807249374999</v>
      </c>
      <c r="E45" s="96">
        <f t="shared" si="22"/>
        <v>338.70764309320299</v>
      </c>
      <c r="F45" s="96">
        <f t="shared" si="22"/>
        <v>235.38655484873576</v>
      </c>
      <c r="G45" s="96">
        <f>G43*115*1.015^(G40-2019)*(1-(0.025*G43))</f>
        <v>238.91735317146677</v>
      </c>
      <c r="H45" s="96">
        <f t="shared" si="22"/>
        <v>354.17925782978023</v>
      </c>
      <c r="I45" s="96">
        <f t="shared" si="22"/>
        <v>359.49194669722698</v>
      </c>
      <c r="J45" s="96">
        <f t="shared" si="22"/>
        <v>364.8843258976853</v>
      </c>
      <c r="K45" s="96">
        <f t="shared" si="22"/>
        <v>370.35759078615052</v>
      </c>
      <c r="L45" s="96">
        <f t="shared" si="22"/>
        <v>375.91295464794274</v>
      </c>
      <c r="M45" s="98">
        <f t="shared" ref="M45:M53" si="23">SUM(C45:L45)</f>
        <v>3091.4225144096908</v>
      </c>
      <c r="N45" s="124"/>
      <c r="O45" s="120"/>
    </row>
    <row r="46" spans="1:15" ht="16.5" thickBot="1" x14ac:dyDescent="0.3">
      <c r="A46" s="80" t="s">
        <v>63</v>
      </c>
      <c r="C46" s="96">
        <f>C8*1.015^(C$2-2020)</f>
        <v>0</v>
      </c>
      <c r="D46" s="81">
        <f t="shared" ref="D46:L47" si="24">D8*1.015^(D$2-2020)</f>
        <v>345.84653249999991</v>
      </c>
      <c r="E46" s="81">
        <f t="shared" si="24"/>
        <v>0</v>
      </c>
      <c r="F46" s="81">
        <f t="shared" si="24"/>
        <v>0</v>
      </c>
      <c r="G46" s="99">
        <f t="shared" si="24"/>
        <v>54.295113795772473</v>
      </c>
      <c r="H46" s="96">
        <f t="shared" si="24"/>
        <v>275.65704683993948</v>
      </c>
      <c r="I46" s="81">
        <f t="shared" si="24"/>
        <v>372.57493726112722</v>
      </c>
      <c r="J46" s="81">
        <f t="shared" si="24"/>
        <v>0</v>
      </c>
      <c r="K46" s="81">
        <f t="shared" si="24"/>
        <v>383.8360147398447</v>
      </c>
      <c r="L46" s="99">
        <f t="shared" si="24"/>
        <v>0</v>
      </c>
      <c r="M46" s="97">
        <f>SUM(C46:L46)</f>
        <v>1432.2096451366838</v>
      </c>
    </row>
    <row r="47" spans="1:15" ht="32.25" thickBot="1" x14ac:dyDescent="0.3">
      <c r="A47" s="80" t="s">
        <v>64</v>
      </c>
      <c r="C47" s="96">
        <f>C9*1.015^(C$2-2020)</f>
        <v>340.71519999999992</v>
      </c>
      <c r="D47" s="81">
        <f t="shared" si="24"/>
        <v>0</v>
      </c>
      <c r="E47" s="81">
        <f t="shared" si="24"/>
        <v>438.76664614999987</v>
      </c>
      <c r="F47" s="81">
        <f t="shared" si="24"/>
        <v>0</v>
      </c>
      <c r="G47" s="99">
        <f t="shared" si="24"/>
        <v>0</v>
      </c>
      <c r="H47" s="96">
        <f t="shared" si="24"/>
        <v>0</v>
      </c>
      <c r="I47" s="81">
        <f t="shared" si="24"/>
        <v>0</v>
      </c>
      <c r="J47" s="81">
        <f t="shared" si="24"/>
        <v>0</v>
      </c>
      <c r="K47" s="81">
        <f t="shared" si="24"/>
        <v>0</v>
      </c>
      <c r="L47" s="99">
        <f t="shared" si="24"/>
        <v>0</v>
      </c>
      <c r="M47" s="98">
        <f t="shared" si="23"/>
        <v>779.4818461499998</v>
      </c>
    </row>
    <row r="48" spans="1:15" ht="16.5" thickBot="1" x14ac:dyDescent="0.3">
      <c r="A48" s="69" t="s">
        <v>65</v>
      </c>
      <c r="C48" s="96">
        <f t="shared" ref="C48:G53" si="25">C10*1.015^(C$2-2019)</f>
        <v>0</v>
      </c>
      <c r="D48" s="100">
        <v>0</v>
      </c>
      <c r="E48" s="81">
        <f>E$10*1.015^(D$2-2019)</f>
        <v>104.56783749999997</v>
      </c>
      <c r="F48" s="81">
        <f t="shared" ref="F48:L53" si="26">F10*1.015^(F$2-2019)</f>
        <v>0</v>
      </c>
      <c r="G48" s="99">
        <f t="shared" si="26"/>
        <v>0</v>
      </c>
      <c r="H48" s="96">
        <f t="shared" si="26"/>
        <v>0</v>
      </c>
      <c r="I48" s="81">
        <f t="shared" si="26"/>
        <v>0</v>
      </c>
      <c r="J48" s="81">
        <f t="shared" si="26"/>
        <v>0</v>
      </c>
      <c r="K48" s="81">
        <f t="shared" si="26"/>
        <v>0</v>
      </c>
      <c r="L48" s="99">
        <f t="shared" si="26"/>
        <v>0</v>
      </c>
      <c r="M48" s="98">
        <f t="shared" si="23"/>
        <v>104.56783749999997</v>
      </c>
      <c r="N48" s="71"/>
    </row>
    <row r="49" spans="1:14" ht="16.5" thickBot="1" x14ac:dyDescent="0.3">
      <c r="A49" s="69" t="s">
        <v>66</v>
      </c>
      <c r="C49" s="96">
        <f t="shared" si="25"/>
        <v>0</v>
      </c>
      <c r="D49" s="81">
        <f t="shared" si="25"/>
        <v>157.89743462499993</v>
      </c>
      <c r="E49" s="81">
        <f t="shared" si="25"/>
        <v>0</v>
      </c>
      <c r="F49" s="81">
        <f t="shared" si="25"/>
        <v>284.4029770254748</v>
      </c>
      <c r="G49" s="99">
        <f t="shared" si="25"/>
        <v>52.485276669246701</v>
      </c>
      <c r="H49" s="96">
        <f>H11*1.015^(H$2-2019)</f>
        <v>53.272555819285401</v>
      </c>
      <c r="I49" s="81">
        <f t="shared" si="26"/>
        <v>150.95000660377096</v>
      </c>
      <c r="J49" s="81">
        <f t="shared" si="26"/>
        <v>48.022378966557874</v>
      </c>
      <c r="K49" s="81">
        <f t="shared" si="26"/>
        <v>55.705959601207127</v>
      </c>
      <c r="L49" s="99">
        <f t="shared" si="26"/>
        <v>113.08309799045045</v>
      </c>
      <c r="M49" s="98">
        <f t="shared" si="23"/>
        <v>915.81968730099322</v>
      </c>
      <c r="N49" s="71"/>
    </row>
    <row r="50" spans="1:14" ht="16.5" thickBot="1" x14ac:dyDescent="0.3">
      <c r="A50" s="69" t="s">
        <v>67</v>
      </c>
      <c r="C50" s="96">
        <f t="shared" si="25"/>
        <v>0</v>
      </c>
      <c r="D50" s="81">
        <f t="shared" si="25"/>
        <v>117.63881718749995</v>
      </c>
      <c r="E50" s="81">
        <f t="shared" si="25"/>
        <v>0</v>
      </c>
      <c r="F50" s="81">
        <f t="shared" si="26"/>
        <v>0</v>
      </c>
      <c r="G50" s="99">
        <f t="shared" si="26"/>
        <v>0</v>
      </c>
      <c r="H50" s="96">
        <f t="shared" si="26"/>
        <v>124.85755270145015</v>
      </c>
      <c r="I50" s="81">
        <f t="shared" si="26"/>
        <v>0</v>
      </c>
      <c r="J50" s="81">
        <f t="shared" si="26"/>
        <v>0</v>
      </c>
      <c r="K50" s="81">
        <f t="shared" si="26"/>
        <v>0</v>
      </c>
      <c r="L50" s="99">
        <f t="shared" si="26"/>
        <v>0</v>
      </c>
      <c r="M50" s="98">
        <f t="shared" si="23"/>
        <v>242.49636988895008</v>
      </c>
    </row>
    <row r="51" spans="1:14" ht="16.5" thickBot="1" x14ac:dyDescent="0.3">
      <c r="A51" s="69" t="s">
        <v>68</v>
      </c>
      <c r="C51" s="96">
        <f t="shared" si="25"/>
        <v>0</v>
      </c>
      <c r="D51" s="81">
        <f t="shared" si="25"/>
        <v>10.456783749999996</v>
      </c>
      <c r="E51" s="81">
        <f t="shared" si="25"/>
        <v>0</v>
      </c>
      <c r="F51" s="81">
        <f t="shared" si="26"/>
        <v>0</v>
      </c>
      <c r="G51" s="99">
        <f t="shared" si="26"/>
        <v>0</v>
      </c>
      <c r="H51" s="96">
        <f t="shared" si="26"/>
        <v>11.098449129017791</v>
      </c>
      <c r="I51" s="81">
        <f t="shared" si="26"/>
        <v>0</v>
      </c>
      <c r="J51" s="81">
        <f t="shared" si="26"/>
        <v>0</v>
      </c>
      <c r="K51" s="81">
        <f t="shared" si="26"/>
        <v>0</v>
      </c>
      <c r="L51" s="99">
        <f t="shared" si="26"/>
        <v>11.779489374005257</v>
      </c>
      <c r="M51" s="98">
        <f t="shared" si="23"/>
        <v>33.334722253023045</v>
      </c>
    </row>
    <row r="52" spans="1:14" ht="16.5" thickBot="1" x14ac:dyDescent="0.3">
      <c r="A52" s="69" t="s">
        <v>69</v>
      </c>
      <c r="C52" s="96">
        <f t="shared" si="25"/>
        <v>461.02568749999989</v>
      </c>
      <c r="D52" s="81">
        <f t="shared" si="25"/>
        <v>0</v>
      </c>
      <c r="E52" s="81">
        <f t="shared" si="25"/>
        <v>0</v>
      </c>
      <c r="F52" s="81">
        <f t="shared" si="26"/>
        <v>266.62779096138263</v>
      </c>
      <c r="G52" s="99">
        <f t="shared" si="26"/>
        <v>0</v>
      </c>
      <c r="H52" s="96">
        <f t="shared" si="26"/>
        <v>0</v>
      </c>
      <c r="I52" s="81">
        <f t="shared" si="26"/>
        <v>0</v>
      </c>
      <c r="J52" s="81">
        <f t="shared" si="26"/>
        <v>0</v>
      </c>
      <c r="K52" s="81">
        <f t="shared" si="26"/>
        <v>0</v>
      </c>
      <c r="L52" s="99">
        <f t="shared" si="26"/>
        <v>0</v>
      </c>
      <c r="M52" s="98">
        <f t="shared" si="23"/>
        <v>727.65347846138252</v>
      </c>
    </row>
    <row r="53" spans="1:14" ht="16.5" thickBot="1" x14ac:dyDescent="0.3">
      <c r="A53" s="69" t="s">
        <v>70</v>
      </c>
      <c r="C53" s="96">
        <f t="shared" si="25"/>
        <v>169.78107999999997</v>
      </c>
      <c r="D53" s="81">
        <f t="shared" si="25"/>
        <v>0</v>
      </c>
      <c r="E53" s="81">
        <f t="shared" si="25"/>
        <v>0</v>
      </c>
      <c r="F53" s="81">
        <f t="shared" si="26"/>
        <v>96.309189947263064</v>
      </c>
      <c r="G53" s="99">
        <f t="shared" si="26"/>
        <v>10.934432639426397</v>
      </c>
      <c r="H53" s="96">
        <f>H15*1.015^(H$2-2019)</f>
        <v>11.098449129017791</v>
      </c>
      <c r="I53" s="81">
        <f t="shared" si="26"/>
        <v>16.897388798929587</v>
      </c>
      <c r="J53" s="81">
        <f t="shared" si="26"/>
        <v>17.150849630913527</v>
      </c>
      <c r="K53" s="81">
        <f t="shared" si="26"/>
        <v>17.408112375377229</v>
      </c>
      <c r="L53" s="99">
        <f t="shared" si="26"/>
        <v>0</v>
      </c>
      <c r="M53" s="98">
        <f t="shared" si="23"/>
        <v>339.57950252092758</v>
      </c>
    </row>
    <row r="54" spans="1:14" ht="16.5" thickBot="1" x14ac:dyDescent="0.3">
      <c r="A54" s="69" t="s">
        <v>45</v>
      </c>
      <c r="C54" s="101">
        <f>SUM(C44:C53)</f>
        <v>2411.0837799999999</v>
      </c>
      <c r="D54" s="102">
        <f t="shared" ref="D54:L54" si="27">SUM(D44:D53)</f>
        <v>2218.0332159999994</v>
      </c>
      <c r="E54" s="102">
        <f t="shared" si="27"/>
        <v>2260.120743588202</v>
      </c>
      <c r="F54" s="102">
        <f t="shared" si="27"/>
        <v>2281.4763088805307</v>
      </c>
      <c r="G54" s="103">
        <f t="shared" si="27"/>
        <v>1776.3632193150518</v>
      </c>
      <c r="H54" s="101">
        <f t="shared" si="27"/>
        <v>2271.190320133217</v>
      </c>
      <c r="I54" s="102">
        <f t="shared" si="27"/>
        <v>2227.8548160971623</v>
      </c>
      <c r="J54" s="102">
        <f t="shared" si="27"/>
        <v>1970.4685771090417</v>
      </c>
      <c r="K54" s="102">
        <f t="shared" si="27"/>
        <v>2390.8248654556728</v>
      </c>
      <c r="L54" s="103">
        <f t="shared" si="27"/>
        <v>2087.7454877847877</v>
      </c>
      <c r="M54" s="104">
        <f>SUM(C54:L54)</f>
        <v>21895.161334363667</v>
      </c>
    </row>
    <row r="55" spans="1:14" hidden="1" x14ac:dyDescent="0.25">
      <c r="C55" s="105"/>
      <c r="D55" s="105"/>
      <c r="E55" s="105"/>
      <c r="F55" s="105"/>
      <c r="G55" s="106"/>
      <c r="H55" s="105"/>
      <c r="I55" s="105"/>
      <c r="J55" s="105"/>
      <c r="K55" s="105"/>
      <c r="L55" s="107"/>
      <c r="M55" s="105"/>
    </row>
    <row r="56" spans="1:14" x14ac:dyDescent="0.25">
      <c r="C56" s="108"/>
      <c r="D56" s="108"/>
      <c r="E56" s="108"/>
      <c r="F56" s="108"/>
      <c r="G56" s="109">
        <f>SUM(C54:G54)</f>
        <v>10947.077267783783</v>
      </c>
      <c r="H56" s="108"/>
      <c r="I56" s="108"/>
      <c r="J56" s="108"/>
      <c r="K56" s="108"/>
      <c r="L56" s="110">
        <f>M54-G56</f>
        <v>10948.084066579884</v>
      </c>
      <c r="M56" s="108"/>
    </row>
    <row r="57" spans="1:14" x14ac:dyDescent="0.25">
      <c r="C57" s="71"/>
      <c r="D57" s="71"/>
      <c r="E57" s="71"/>
      <c r="F57" s="111" t="s">
        <v>75</v>
      </c>
      <c r="G57" s="71">
        <v>10946</v>
      </c>
      <c r="H57" s="71"/>
      <c r="I57" s="71">
        <f>G8+H8</f>
        <v>302.5</v>
      </c>
      <c r="J57" s="71"/>
      <c r="K57" s="71"/>
      <c r="L57" s="71"/>
      <c r="M57" s="71">
        <v>21897</v>
      </c>
    </row>
    <row r="58" spans="1:14" x14ac:dyDescent="0.25">
      <c r="G58" s="71">
        <f>G56-G57</f>
        <v>1.0772677837830997</v>
      </c>
      <c r="H58" s="71"/>
      <c r="I58" s="71">
        <v>302.5</v>
      </c>
      <c r="M58" s="77">
        <f>M57-M54</f>
        <v>1.8386656363327347</v>
      </c>
    </row>
    <row r="61" spans="1:14" ht="20.25" hidden="1" x14ac:dyDescent="0.25">
      <c r="A61" s="66" t="s">
        <v>76</v>
      </c>
    </row>
    <row r="62" spans="1:14" hidden="1" x14ac:dyDescent="0.25">
      <c r="A62" s="85" t="s">
        <v>72</v>
      </c>
      <c r="C62" s="67">
        <f>C$2</f>
        <v>2021</v>
      </c>
      <c r="D62" s="67">
        <f t="shared" ref="D62:L62" si="28">D$2</f>
        <v>2022</v>
      </c>
      <c r="E62" s="67">
        <f t="shared" si="28"/>
        <v>2023</v>
      </c>
      <c r="F62" s="67">
        <f t="shared" si="28"/>
        <v>2024</v>
      </c>
      <c r="G62" s="67">
        <f t="shared" si="28"/>
        <v>2025</v>
      </c>
      <c r="H62" s="67">
        <f t="shared" si="28"/>
        <v>2026</v>
      </c>
      <c r="I62" s="67">
        <f t="shared" si="28"/>
        <v>2027</v>
      </c>
      <c r="J62" s="67">
        <f t="shared" si="28"/>
        <v>2028</v>
      </c>
      <c r="K62" s="67">
        <f t="shared" si="28"/>
        <v>2029</v>
      </c>
      <c r="L62" s="67">
        <f t="shared" si="28"/>
        <v>2030</v>
      </c>
      <c r="M62" s="121" t="s">
        <v>45</v>
      </c>
      <c r="N62" s="74" t="s">
        <v>57</v>
      </c>
    </row>
    <row r="63" spans="1:14" ht="16.5" hidden="1" thickBot="1" x14ac:dyDescent="0.3">
      <c r="A63" s="85" t="s">
        <v>77</v>
      </c>
      <c r="C63" s="69" t="str">
        <f>C$3</f>
        <v>64/21</v>
      </c>
      <c r="D63" s="69" t="str">
        <f t="shared" ref="D63:L63" si="29">D$3</f>
        <v>72/24</v>
      </c>
      <c r="E63" s="69" t="str">
        <f t="shared" si="29"/>
        <v>80/26</v>
      </c>
      <c r="F63" s="69" t="str">
        <f t="shared" si="29"/>
        <v>88/29</v>
      </c>
      <c r="G63" s="69" t="str">
        <f t="shared" si="29"/>
        <v>96/31</v>
      </c>
      <c r="H63" s="69" t="str">
        <f t="shared" si="29"/>
        <v>104/34</v>
      </c>
      <c r="I63" s="69" t="str">
        <f t="shared" si="29"/>
        <v>111/37</v>
      </c>
      <c r="J63" s="69" t="str">
        <f t="shared" si="29"/>
        <v>119/40</v>
      </c>
      <c r="K63" s="69" t="str">
        <f t="shared" si="29"/>
        <v>127/43</v>
      </c>
      <c r="L63" s="69" t="str">
        <f t="shared" si="29"/>
        <v>135/45</v>
      </c>
      <c r="M63" s="122"/>
      <c r="N63" s="74" t="s">
        <v>59</v>
      </c>
    </row>
    <row r="64" spans="1:14" hidden="1" x14ac:dyDescent="0.25">
      <c r="A64" t="s">
        <v>56</v>
      </c>
      <c r="C64" s="73">
        <f>C$4</f>
        <v>7</v>
      </c>
      <c r="D64" s="73">
        <f t="shared" ref="D64:L64" si="30">D$4</f>
        <v>8</v>
      </c>
      <c r="E64" s="73">
        <f t="shared" si="30"/>
        <v>8</v>
      </c>
      <c r="F64" s="73">
        <f t="shared" si="30"/>
        <v>8</v>
      </c>
      <c r="G64" s="73">
        <f t="shared" si="30"/>
        <v>8</v>
      </c>
      <c r="H64" s="73">
        <f t="shared" si="30"/>
        <v>8</v>
      </c>
      <c r="I64" s="73">
        <f t="shared" si="30"/>
        <v>7</v>
      </c>
      <c r="J64" s="73">
        <f t="shared" si="30"/>
        <v>8</v>
      </c>
      <c r="K64" s="73">
        <f t="shared" si="30"/>
        <v>8</v>
      </c>
      <c r="L64" s="73">
        <f t="shared" si="30"/>
        <v>8</v>
      </c>
      <c r="M64" s="73">
        <v>78</v>
      </c>
    </row>
    <row r="65" spans="1:15" hidden="1" x14ac:dyDescent="0.25">
      <c r="A65" t="s">
        <v>58</v>
      </c>
      <c r="C65" s="73">
        <f>C$5</f>
        <v>2</v>
      </c>
      <c r="D65" s="73">
        <f t="shared" ref="D65:L65" si="31">D$5</f>
        <v>2</v>
      </c>
      <c r="E65" s="73">
        <f t="shared" si="31"/>
        <v>3</v>
      </c>
      <c r="F65" s="73">
        <f t="shared" si="31"/>
        <v>2</v>
      </c>
      <c r="G65" s="73">
        <f t="shared" si="31"/>
        <v>2</v>
      </c>
      <c r="H65" s="73">
        <f t="shared" si="31"/>
        <v>3</v>
      </c>
      <c r="I65" s="73">
        <f t="shared" si="31"/>
        <v>3</v>
      </c>
      <c r="J65" s="73">
        <f t="shared" si="31"/>
        <v>3</v>
      </c>
      <c r="K65" s="73">
        <f t="shared" si="31"/>
        <v>3</v>
      </c>
      <c r="L65" s="73">
        <f t="shared" si="31"/>
        <v>3</v>
      </c>
      <c r="M65" s="73">
        <v>26</v>
      </c>
    </row>
    <row r="66" spans="1:15" ht="16.5" hidden="1" thickBot="1" x14ac:dyDescent="0.3">
      <c r="A66" s="76" t="s">
        <v>60</v>
      </c>
      <c r="C66" s="77">
        <f t="shared" ref="C66:I66" si="32">C4*206.5*1.025^(C$2-2020)*(1-(C4-1)*0.03) + C4*1.6*1.025^(C$2-2020)</f>
        <v>1226.42275</v>
      </c>
      <c r="D66" s="77">
        <f t="shared" si="32"/>
        <v>1384.5976750000002</v>
      </c>
      <c r="E66" s="77">
        <f t="shared" si="32"/>
        <v>1419.2126168749999</v>
      </c>
      <c r="F66" s="77">
        <f t="shared" si="32"/>
        <v>1454.6929322968749</v>
      </c>
      <c r="G66" s="77">
        <f t="shared" si="32"/>
        <v>1491.0602556042966</v>
      </c>
      <c r="H66" s="77">
        <f t="shared" si="32"/>
        <v>1528.3367619944038</v>
      </c>
      <c r="I66" s="77">
        <f t="shared" si="32"/>
        <v>1422.2743911215532</v>
      </c>
      <c r="J66" s="77">
        <f>J4*206.5*1.025^(J$2-2020)*(1-(J4-2)*0.03) + J4*1.6*1.025^(J$2-2020)</f>
        <v>1666.092858170962</v>
      </c>
      <c r="K66" s="77">
        <f>K4*206.5*1.025^(K$2-2020)*(1-(K4-2)*0.03) + K4*1.6*1.025^(K$2-2020)</f>
        <v>1707.7451796252358</v>
      </c>
      <c r="L66" s="77">
        <f>L4*206.5*1.025^(L$2-2020)*(1-(L4-2)*0.03) + L4*1.6*1.025^(L$2-2020)</f>
        <v>1750.4388091158664</v>
      </c>
      <c r="M66" s="77">
        <f>SUM(C66:L66)</f>
        <v>15050.874229804193</v>
      </c>
    </row>
    <row r="67" spans="1:15" ht="16.5" hidden="1" thickBot="1" x14ac:dyDescent="0.3">
      <c r="A67" s="69" t="s">
        <v>61</v>
      </c>
      <c r="C67" s="77">
        <f t="shared" ref="C67:L67" si="33">C7*1.015^(C$2-2019)*(1-(0.025*C65))</f>
        <v>225.10416249999994</v>
      </c>
      <c r="D67" s="77">
        <f t="shared" si="33"/>
        <v>228.4807249374999</v>
      </c>
      <c r="E67" s="77">
        <f t="shared" si="33"/>
        <v>338.70764309320299</v>
      </c>
      <c r="F67" s="77">
        <f t="shared" si="33"/>
        <v>235.38655484873576</v>
      </c>
      <c r="G67" s="77">
        <f t="shared" si="33"/>
        <v>238.91735317146677</v>
      </c>
      <c r="H67" s="77">
        <f t="shared" si="33"/>
        <v>354.17925782978023</v>
      </c>
      <c r="I67" s="77">
        <f t="shared" si="33"/>
        <v>359.49194669722698</v>
      </c>
      <c r="J67" s="77">
        <f t="shared" si="33"/>
        <v>364.8843258976853</v>
      </c>
      <c r="K67" s="77">
        <f t="shared" si="33"/>
        <v>370.35759078615052</v>
      </c>
      <c r="L67" s="77">
        <f t="shared" si="33"/>
        <v>375.91295464794274</v>
      </c>
      <c r="M67" s="77">
        <f t="shared" ref="M67:M75" si="34">SUM(C67:L67)</f>
        <v>3091.4225144096908</v>
      </c>
      <c r="N67" s="78">
        <f>SUM(M66:M67)</f>
        <v>18142.296744213883</v>
      </c>
      <c r="O67" s="79" t="s">
        <v>62</v>
      </c>
    </row>
    <row r="68" spans="1:15" ht="16.5" hidden="1" thickBot="1" x14ac:dyDescent="0.3">
      <c r="A68" s="80" t="s">
        <v>63</v>
      </c>
      <c r="C68" s="77">
        <f>C$8*1.015^(C$2-2020)</f>
        <v>0</v>
      </c>
      <c r="D68" s="77">
        <f t="shared" ref="D68:L68" si="35">D$8*1.015^(D$2-2020)</f>
        <v>345.84653249999991</v>
      </c>
      <c r="E68" s="77">
        <f>E$8*1.015^(E$2-2020)</f>
        <v>0</v>
      </c>
      <c r="F68" s="77">
        <f>F$8*1.015^(F$2-2020)</f>
        <v>0</v>
      </c>
      <c r="G68" s="77">
        <f>G$8*1.015^(G$2-2020)</f>
        <v>54.295113795772473</v>
      </c>
      <c r="H68" s="77">
        <v>0</v>
      </c>
      <c r="I68" s="77">
        <f t="shared" si="35"/>
        <v>372.57493726112722</v>
      </c>
      <c r="J68" s="77">
        <f t="shared" si="35"/>
        <v>0</v>
      </c>
      <c r="K68" s="77">
        <f t="shared" si="35"/>
        <v>383.8360147398447</v>
      </c>
      <c r="L68" s="77">
        <f t="shared" si="35"/>
        <v>0</v>
      </c>
      <c r="M68" s="77">
        <f t="shared" si="34"/>
        <v>1156.5525982967442</v>
      </c>
    </row>
    <row r="69" spans="1:15" ht="32.25" hidden="1" thickBot="1" x14ac:dyDescent="0.3">
      <c r="A69" s="80" t="s">
        <v>64</v>
      </c>
      <c r="C69" s="77">
        <f>C$9*1.015^(C$2-2020)</f>
        <v>340.71519999999992</v>
      </c>
      <c r="D69" s="77">
        <f t="shared" ref="D69:L69" si="36">D$9*1.015^(D$2-2020)</f>
        <v>0</v>
      </c>
      <c r="E69" s="77">
        <f t="shared" si="36"/>
        <v>438.76664614999987</v>
      </c>
      <c r="F69" s="77">
        <f t="shared" si="36"/>
        <v>0</v>
      </c>
      <c r="G69" s="77">
        <f t="shared" si="36"/>
        <v>0</v>
      </c>
      <c r="H69" s="77">
        <v>0</v>
      </c>
      <c r="I69" s="77">
        <f t="shared" si="36"/>
        <v>0</v>
      </c>
      <c r="J69" s="77">
        <f t="shared" si="36"/>
        <v>0</v>
      </c>
      <c r="K69" s="77">
        <f t="shared" si="36"/>
        <v>0</v>
      </c>
      <c r="L69" s="77">
        <f t="shared" si="36"/>
        <v>0</v>
      </c>
      <c r="M69" s="77">
        <f t="shared" si="34"/>
        <v>779.4818461499998</v>
      </c>
    </row>
    <row r="70" spans="1:15" ht="16.5" hidden="1" thickBot="1" x14ac:dyDescent="0.3">
      <c r="A70" s="69" t="s">
        <v>65</v>
      </c>
      <c r="C70" s="77">
        <f>C$10*1.015^(C$2-2019)</f>
        <v>0</v>
      </c>
      <c r="D70" s="77">
        <f t="shared" ref="D70:L70" si="37">D$10*1.015^(D$2-2019)</f>
        <v>0</v>
      </c>
      <c r="E70" s="77">
        <f>E$10*1.015^(D$2-2019)</f>
        <v>104.56783749999997</v>
      </c>
      <c r="F70" s="77">
        <f t="shared" si="37"/>
        <v>0</v>
      </c>
      <c r="G70" s="77">
        <f t="shared" si="37"/>
        <v>0</v>
      </c>
      <c r="H70" s="77">
        <f t="shared" si="37"/>
        <v>0</v>
      </c>
      <c r="I70" s="77">
        <f t="shared" si="37"/>
        <v>0</v>
      </c>
      <c r="J70" s="77">
        <f t="shared" si="37"/>
        <v>0</v>
      </c>
      <c r="K70" s="77">
        <f t="shared" si="37"/>
        <v>0</v>
      </c>
      <c r="L70" s="77">
        <f t="shared" si="37"/>
        <v>0</v>
      </c>
      <c r="M70" s="77">
        <f t="shared" si="34"/>
        <v>104.56783749999997</v>
      </c>
    </row>
    <row r="71" spans="1:15" ht="16.5" hidden="1" thickBot="1" x14ac:dyDescent="0.3">
      <c r="A71" s="69" t="s">
        <v>66</v>
      </c>
      <c r="C71" s="77">
        <f>C$11*1.015^(C$2-2019)</f>
        <v>0</v>
      </c>
      <c r="D71" s="77">
        <f t="shared" ref="D71:L71" si="38">D$11*1.015^(D$2-2019)</f>
        <v>157.89743462499993</v>
      </c>
      <c r="E71" s="77">
        <f t="shared" si="38"/>
        <v>0</v>
      </c>
      <c r="F71" s="77">
        <f t="shared" si="38"/>
        <v>284.4029770254748</v>
      </c>
      <c r="G71" s="77">
        <f t="shared" si="38"/>
        <v>52.485276669246701</v>
      </c>
      <c r="H71" s="77">
        <f t="shared" si="38"/>
        <v>53.272555819285401</v>
      </c>
      <c r="I71" s="77">
        <f t="shared" si="38"/>
        <v>150.95000660377096</v>
      </c>
      <c r="J71" s="77">
        <f t="shared" si="38"/>
        <v>48.022378966557874</v>
      </c>
      <c r="K71" s="77">
        <f t="shared" si="38"/>
        <v>55.705959601207127</v>
      </c>
      <c r="L71" s="77">
        <f t="shared" si="38"/>
        <v>113.08309799045045</v>
      </c>
      <c r="M71" s="77">
        <f t="shared" si="34"/>
        <v>915.81968730099322</v>
      </c>
    </row>
    <row r="72" spans="1:15" ht="16.5" hidden="1" thickBot="1" x14ac:dyDescent="0.3">
      <c r="A72" s="69" t="s">
        <v>67</v>
      </c>
      <c r="C72" s="77">
        <f>C$12*1.015^(C$2-2019)</f>
        <v>0</v>
      </c>
      <c r="D72" s="77">
        <f t="shared" ref="D72:L72" si="39">D$12*1.015^(D$2-2019)</f>
        <v>117.63881718749995</v>
      </c>
      <c r="E72" s="77">
        <f t="shared" si="39"/>
        <v>0</v>
      </c>
      <c r="F72" s="77">
        <f t="shared" si="39"/>
        <v>0</v>
      </c>
      <c r="G72" s="77">
        <f t="shared" si="39"/>
        <v>0</v>
      </c>
      <c r="H72" s="77">
        <f t="shared" si="39"/>
        <v>124.85755270145015</v>
      </c>
      <c r="I72" s="77">
        <f t="shared" si="39"/>
        <v>0</v>
      </c>
      <c r="J72" s="77">
        <f t="shared" si="39"/>
        <v>0</v>
      </c>
      <c r="K72" s="77">
        <f t="shared" si="39"/>
        <v>0</v>
      </c>
      <c r="L72" s="77">
        <f t="shared" si="39"/>
        <v>0</v>
      </c>
      <c r="M72" s="77">
        <f t="shared" si="34"/>
        <v>242.49636988895008</v>
      </c>
    </row>
    <row r="73" spans="1:15" ht="16.5" hidden="1" thickBot="1" x14ac:dyDescent="0.3">
      <c r="A73" s="69" t="s">
        <v>68</v>
      </c>
      <c r="C73" s="77">
        <f>C$13*1.015^(C$2-2019)</f>
        <v>0</v>
      </c>
      <c r="D73" s="77">
        <f t="shared" ref="D73:L73" si="40">D$13*1.015^(D$2-2019)</f>
        <v>10.456783749999996</v>
      </c>
      <c r="E73" s="77">
        <f t="shared" si="40"/>
        <v>0</v>
      </c>
      <c r="F73" s="77">
        <f t="shared" si="40"/>
        <v>0</v>
      </c>
      <c r="G73" s="77">
        <f t="shared" si="40"/>
        <v>0</v>
      </c>
      <c r="H73" s="77">
        <f t="shared" si="40"/>
        <v>11.098449129017791</v>
      </c>
      <c r="I73" s="77">
        <f t="shared" si="40"/>
        <v>0</v>
      </c>
      <c r="J73" s="77">
        <f t="shared" si="40"/>
        <v>0</v>
      </c>
      <c r="K73" s="77">
        <f t="shared" si="40"/>
        <v>0</v>
      </c>
      <c r="L73" s="77">
        <f t="shared" si="40"/>
        <v>11.779489374005257</v>
      </c>
      <c r="M73" s="77">
        <f t="shared" si="34"/>
        <v>33.334722253023045</v>
      </c>
    </row>
    <row r="74" spans="1:15" ht="16.5" hidden="1" thickBot="1" x14ac:dyDescent="0.3">
      <c r="A74" s="69" t="s">
        <v>69</v>
      </c>
      <c r="C74" s="77">
        <f>C$14*1.015^(C$2-2019)</f>
        <v>461.02568749999989</v>
      </c>
      <c r="D74" s="77">
        <f t="shared" ref="D74:L74" si="41">D$14*1.015^(D$2-2019)</f>
        <v>0</v>
      </c>
      <c r="E74" s="77">
        <f t="shared" si="41"/>
        <v>0</v>
      </c>
      <c r="F74" s="77">
        <f t="shared" si="41"/>
        <v>266.62779096138263</v>
      </c>
      <c r="G74" s="77">
        <f t="shared" si="41"/>
        <v>0</v>
      </c>
      <c r="H74" s="77">
        <f t="shared" si="41"/>
        <v>0</v>
      </c>
      <c r="I74" s="77">
        <f t="shared" si="41"/>
        <v>0</v>
      </c>
      <c r="J74" s="77">
        <f t="shared" si="41"/>
        <v>0</v>
      </c>
      <c r="K74" s="77">
        <f t="shared" si="41"/>
        <v>0</v>
      </c>
      <c r="L74" s="77">
        <f t="shared" si="41"/>
        <v>0</v>
      </c>
      <c r="M74" s="77">
        <f>SUM(C74:L74)</f>
        <v>727.65347846138252</v>
      </c>
    </row>
    <row r="75" spans="1:15" ht="16.5" hidden="1" thickBot="1" x14ac:dyDescent="0.3">
      <c r="A75" s="69" t="s">
        <v>70</v>
      </c>
      <c r="C75" s="77">
        <f>C$15*1.015^(C$2-2019)</f>
        <v>169.78107999999997</v>
      </c>
      <c r="D75" s="77">
        <f t="shared" ref="D75:L75" si="42">D$15*1.015^(D$2-2019)</f>
        <v>0</v>
      </c>
      <c r="E75" s="77">
        <f t="shared" si="42"/>
        <v>0</v>
      </c>
      <c r="F75" s="77">
        <f t="shared" si="42"/>
        <v>96.309189947263064</v>
      </c>
      <c r="G75" s="77">
        <f t="shared" si="42"/>
        <v>10.934432639426397</v>
      </c>
      <c r="H75" s="77">
        <f t="shared" si="42"/>
        <v>11.098449129017791</v>
      </c>
      <c r="I75" s="77">
        <f t="shared" si="42"/>
        <v>16.897388798929587</v>
      </c>
      <c r="J75" s="77">
        <f t="shared" si="42"/>
        <v>17.150849630913527</v>
      </c>
      <c r="K75" s="77">
        <f t="shared" si="42"/>
        <v>17.408112375377229</v>
      </c>
      <c r="L75" s="77">
        <f t="shared" si="42"/>
        <v>0</v>
      </c>
      <c r="M75" s="77">
        <f t="shared" si="34"/>
        <v>339.57950252092758</v>
      </c>
    </row>
    <row r="76" spans="1:15" ht="16.5" hidden="1" thickBot="1" x14ac:dyDescent="0.3">
      <c r="A76" s="69" t="s">
        <v>45</v>
      </c>
      <c r="C76" s="77">
        <f t="shared" ref="C76:L76" si="43">SUM(C66:C75)</f>
        <v>2423.0488799999994</v>
      </c>
      <c r="D76" s="77">
        <f t="shared" si="43"/>
        <v>2244.9179679999997</v>
      </c>
      <c r="E76" s="77">
        <f t="shared" si="43"/>
        <v>2301.2547436182026</v>
      </c>
      <c r="F76" s="77">
        <f t="shared" si="43"/>
        <v>2337.4194450797313</v>
      </c>
      <c r="G76" s="77">
        <f t="shared" si="43"/>
        <v>1847.6924318802091</v>
      </c>
      <c r="H76" s="77">
        <f t="shared" si="43"/>
        <v>2082.843026602955</v>
      </c>
      <c r="I76" s="77">
        <f t="shared" si="43"/>
        <v>2322.1886704826079</v>
      </c>
      <c r="J76" s="77">
        <f t="shared" si="43"/>
        <v>2096.1504126661184</v>
      </c>
      <c r="K76" s="77">
        <f t="shared" si="43"/>
        <v>2535.0528571278155</v>
      </c>
      <c r="L76" s="77">
        <f t="shared" si="43"/>
        <v>2251.2143511282648</v>
      </c>
      <c r="M76" s="112">
        <f>SUM(C76:L76)</f>
        <v>22441.782786585907</v>
      </c>
    </row>
    <row r="77" spans="1:15" hidden="1" x14ac:dyDescent="0.25"/>
    <row r="78" spans="1:15" hidden="1" x14ac:dyDescent="0.25"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</row>
    <row r="79" spans="1:15" hidden="1" x14ac:dyDescent="0.25">
      <c r="C79" s="71" t="s">
        <v>17</v>
      </c>
      <c r="D79" s="71"/>
      <c r="E79" s="71"/>
      <c r="F79" s="71"/>
      <c r="G79" s="71"/>
      <c r="H79" s="71"/>
      <c r="I79" s="71"/>
      <c r="J79" s="71"/>
      <c r="K79" s="71"/>
      <c r="L79" s="71"/>
      <c r="M79" s="71"/>
    </row>
    <row r="80" spans="1:15" hidden="1" x14ac:dyDescent="0.25"/>
    <row r="81" hidden="1" x14ac:dyDescent="0.25"/>
  </sheetData>
  <mergeCells count="6">
    <mergeCell ref="O44:O45"/>
    <mergeCell ref="M62:M63"/>
    <mergeCell ref="M2:M3"/>
    <mergeCell ref="M22:M23"/>
    <mergeCell ref="M40:M41"/>
    <mergeCell ref="N44:N45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S25" sqref="S25"/>
    </sheetView>
  </sheetViews>
  <sheetFormatPr baseColWidth="10" defaultColWidth="10.875" defaultRowHeight="15.75" x14ac:dyDescent="0.25"/>
  <cols>
    <col min="1" max="4" width="10.875" style="1"/>
    <col min="5" max="5" width="4.125" style="1" customWidth="1"/>
    <col min="6" max="6" width="8.5" style="1" customWidth="1"/>
    <col min="7" max="7" width="4.5" style="1" customWidth="1"/>
    <col min="8" max="8" width="7.625" style="1" customWidth="1"/>
    <col min="9" max="9" width="5.625" style="1" customWidth="1"/>
    <col min="10" max="10" width="10.625" style="1" customWidth="1"/>
    <col min="11" max="12" width="10.875" style="1"/>
    <col min="13" max="13" width="10.375" style="1" customWidth="1"/>
    <col min="14" max="14" width="10.875" style="1"/>
    <col min="15" max="15" width="15.5" style="1" customWidth="1"/>
    <col min="16" max="16384" width="10.875" style="1"/>
  </cols>
  <sheetData>
    <row r="1" spans="1:15" ht="21" x14ac:dyDescent="0.25">
      <c r="A1" s="3" t="s">
        <v>0</v>
      </c>
      <c r="B1" s="4">
        <v>0.20549999999999999</v>
      </c>
      <c r="F1" s="2"/>
      <c r="I1" s="2"/>
    </row>
    <row r="2" spans="1:15" ht="21.75" thickBot="1" x14ac:dyDescent="0.3">
      <c r="B2" s="151" t="s">
        <v>1</v>
      </c>
      <c r="C2" s="152"/>
      <c r="I2" s="5"/>
    </row>
    <row r="3" spans="1:15" s="11" customFormat="1" ht="17.100000000000001" customHeight="1" x14ac:dyDescent="0.25">
      <c r="A3" s="6" t="s">
        <v>2</v>
      </c>
      <c r="B3" s="7" t="s">
        <v>3</v>
      </c>
      <c r="C3" s="7" t="str">
        <f>A1</f>
        <v>France</v>
      </c>
      <c r="D3" s="6" t="s">
        <v>4</v>
      </c>
      <c r="E3" s="153" t="s">
        <v>5</v>
      </c>
      <c r="F3" s="154"/>
      <c r="G3" s="153" t="s">
        <v>6</v>
      </c>
      <c r="H3" s="154"/>
      <c r="I3" s="153" t="s">
        <v>7</v>
      </c>
      <c r="J3" s="155"/>
      <c r="K3" s="8" t="s">
        <v>8</v>
      </c>
      <c r="L3" s="9" t="s">
        <v>9</v>
      </c>
      <c r="M3" s="8" t="s">
        <v>10</v>
      </c>
      <c r="N3" s="8" t="s">
        <v>11</v>
      </c>
      <c r="O3" s="10" t="s">
        <v>12</v>
      </c>
    </row>
    <row r="4" spans="1:15" s="11" customFormat="1" x14ac:dyDescent="0.25">
      <c r="A4" s="12"/>
      <c r="B4" s="12"/>
      <c r="C4" s="39">
        <f>B1</f>
        <v>0.20549999999999999</v>
      </c>
      <c r="D4" s="12"/>
      <c r="E4" s="13"/>
      <c r="F4" s="14"/>
      <c r="G4" s="10" t="s">
        <v>13</v>
      </c>
      <c r="H4" s="10" t="s">
        <v>14</v>
      </c>
      <c r="I4" s="8" t="s">
        <v>13</v>
      </c>
      <c r="J4" s="14"/>
      <c r="K4" s="8"/>
      <c r="L4" s="15"/>
      <c r="M4" s="8"/>
      <c r="N4" s="8"/>
      <c r="O4" s="8"/>
    </row>
    <row r="5" spans="1:15" s="11" customFormat="1" ht="18" customHeight="1" thickBot="1" x14ac:dyDescent="0.3">
      <c r="A5" s="16"/>
      <c r="B5" s="16" t="s">
        <v>15</v>
      </c>
      <c r="C5" s="40" t="s">
        <v>15</v>
      </c>
      <c r="D5" s="16" t="s">
        <v>15</v>
      </c>
      <c r="E5" s="156" t="s">
        <v>16</v>
      </c>
      <c r="F5" s="157"/>
      <c r="G5" s="158" t="s">
        <v>16</v>
      </c>
      <c r="H5" s="159"/>
      <c r="I5" s="160" t="s">
        <v>16</v>
      </c>
      <c r="J5" s="161"/>
      <c r="K5" s="17" t="s">
        <v>16</v>
      </c>
      <c r="L5" s="18" t="s">
        <v>16</v>
      </c>
      <c r="M5" s="18" t="s">
        <v>16</v>
      </c>
      <c r="N5" s="18" t="s">
        <v>16</v>
      </c>
      <c r="O5" s="18" t="s">
        <v>16</v>
      </c>
    </row>
    <row r="6" spans="1:15" s="11" customFormat="1" ht="17.25" thickTop="1" thickBot="1" x14ac:dyDescent="0.3">
      <c r="A6" s="45">
        <v>2021</v>
      </c>
      <c r="B6" s="41">
        <v>2411.1</v>
      </c>
      <c r="C6" s="46">
        <f>B6*$C$4</f>
        <v>495.48104999999993</v>
      </c>
      <c r="D6" s="47"/>
      <c r="E6" s="48">
        <f>GANIL!E6+IN2P3!E6+IRFU!E6</f>
        <v>0</v>
      </c>
      <c r="F6" s="63">
        <f>GANIL!F6+IN2P3!F6+IRFU!F6</f>
        <v>0</v>
      </c>
      <c r="G6" s="63">
        <f>GANIL!G6+IN2P3!G6+IRFU!G6</f>
        <v>1</v>
      </c>
      <c r="H6" s="63">
        <f>GANIL!H6+IN2P3!H6+IRFU!H6</f>
        <v>110</v>
      </c>
      <c r="I6" s="48">
        <f>GANIL!I6+IN2P3!I6+IRFU!I6</f>
        <v>20</v>
      </c>
      <c r="J6" s="48">
        <f>GANIL!J6+IN2P3!J6+IRFU!J6</f>
        <v>40</v>
      </c>
      <c r="K6" s="48">
        <f>GANIL!K6+IN2P3!K6+IRFU!K6</f>
        <v>0</v>
      </c>
      <c r="L6" s="48">
        <f>GANIL!L6+IN2P3!L6+IRFU!L6</f>
        <v>0</v>
      </c>
      <c r="M6" s="48">
        <f>GANIL!M6+IN2P3!M6+IRFU!M6</f>
        <v>0</v>
      </c>
      <c r="N6" s="48">
        <f>GANIL!N6+IN2P3!N6+IRFU!N6</f>
        <v>0</v>
      </c>
      <c r="O6" s="46">
        <f t="shared" ref="O6" si="0">F6+H6+J6+K6+L6+M6+N6</f>
        <v>150</v>
      </c>
    </row>
    <row r="7" spans="1:15" s="11" customFormat="1" ht="16.5" thickBot="1" x14ac:dyDescent="0.3">
      <c r="A7" s="41">
        <v>2022</v>
      </c>
      <c r="B7" s="45">
        <v>2218</v>
      </c>
      <c r="C7" s="42">
        <f>B7*$C$4</f>
        <v>455.79899999999998</v>
      </c>
      <c r="D7" s="43"/>
      <c r="E7" s="44">
        <f>GANIL!E7+IN2P3!E7+IRFU!E7</f>
        <v>3</v>
      </c>
      <c r="F7" s="62">
        <f>GANIL!F7+IN2P3!F7+IRFU!F7</f>
        <v>339.7</v>
      </c>
      <c r="G7" s="62">
        <f>GANIL!G7+IN2P3!G7+IRFU!G7</f>
        <v>0</v>
      </c>
      <c r="H7" s="62">
        <f>GANIL!H7+IN2P3!H7+IRFU!H7</f>
        <v>0</v>
      </c>
      <c r="I7" s="44">
        <f>GANIL!I7+IN2P3!I7+IRFU!I7</f>
        <v>0</v>
      </c>
      <c r="J7" s="44">
        <f>GANIL!J7+IN2P3!J7+IRFU!J7</f>
        <v>0</v>
      </c>
      <c r="K7" s="44">
        <f>GANIL!K7+IN2P3!K7+IRFU!K7</f>
        <v>0</v>
      </c>
      <c r="L7" s="44">
        <f>GANIL!L7+IN2P3!L7+IRFU!L7</f>
        <v>0</v>
      </c>
      <c r="M7" s="44">
        <f>GANIL!M7+IN2P3!M7+IRFU!M7</f>
        <v>0</v>
      </c>
      <c r="N7" s="44">
        <f>GANIL!N7+IN2P3!N7+IRFU!N7</f>
        <v>0</v>
      </c>
      <c r="O7" s="42">
        <f>F7+H7+J7+K7+L7+M7+N7</f>
        <v>339.7</v>
      </c>
    </row>
    <row r="8" spans="1:15" s="11" customFormat="1" ht="16.5" thickBot="1" x14ac:dyDescent="0.3">
      <c r="A8" s="45">
        <v>2023</v>
      </c>
      <c r="B8" s="41">
        <v>2260.1</v>
      </c>
      <c r="C8" s="46">
        <f t="shared" ref="C8:C16" si="1">B8*$C$4</f>
        <v>464.45054999999996</v>
      </c>
      <c r="D8" s="47"/>
      <c r="E8" s="48">
        <f>GANIL!E8+IN2P3!E8+IRFU!E8</f>
        <v>2</v>
      </c>
      <c r="F8" s="63">
        <f>GANIL!F8+IN2P3!F8+IRFU!F8</f>
        <v>357.7</v>
      </c>
      <c r="G8" s="63">
        <f>GANIL!G8+IN2P3!G8+IRFU!G8</f>
        <v>1</v>
      </c>
      <c r="H8" s="63">
        <f>GANIL!H8+IN2P3!H8+IRFU!H8</f>
        <v>112.89999999999999</v>
      </c>
      <c r="I8" s="48">
        <f>GANIL!I8+IN2P3!I8+IRFU!I8</f>
        <v>0</v>
      </c>
      <c r="J8" s="48">
        <f>GANIL!J8+IN2P3!J8+IRFU!J8</f>
        <v>0</v>
      </c>
      <c r="K8" s="48">
        <f>GANIL!K8+IN2P3!K8+IRFU!K8</f>
        <v>0</v>
      </c>
      <c r="L8" s="48">
        <f>GANIL!L8+IN2P3!L8+IRFU!L8</f>
        <v>0</v>
      </c>
      <c r="M8" s="48">
        <f>GANIL!M8+IN2P3!M8+IRFU!M8</f>
        <v>0</v>
      </c>
      <c r="N8" s="48">
        <f>GANIL!N8+IN2P3!N8+IRFU!N8</f>
        <v>0</v>
      </c>
      <c r="O8" s="46">
        <f t="shared" ref="O8:O16" si="2">F8+H8+J8+K8+L8+M8+N8</f>
        <v>470.59999999999997</v>
      </c>
    </row>
    <row r="9" spans="1:15" s="11" customFormat="1" ht="16.5" thickBot="1" x14ac:dyDescent="0.3">
      <c r="A9" s="41">
        <v>2024</v>
      </c>
      <c r="B9" s="45">
        <v>2281.5</v>
      </c>
      <c r="C9" s="42">
        <f t="shared" si="1"/>
        <v>468.84824999999995</v>
      </c>
      <c r="D9" s="43"/>
      <c r="E9" s="44">
        <f>GANIL!E9+IN2P3!E9+IRFU!E9</f>
        <v>1</v>
      </c>
      <c r="F9" s="62">
        <f>GANIL!F9+IN2P3!F9+IRFU!F9</f>
        <v>174.8</v>
      </c>
      <c r="G9" s="62">
        <f>GANIL!G9+IN2P3!G9+IRFU!G9</f>
        <v>0</v>
      </c>
      <c r="H9" s="62">
        <f>GANIL!H9+IN2P3!H9+IRFU!H9</f>
        <v>0</v>
      </c>
      <c r="I9" s="44">
        <f>GANIL!I9+IN2P3!I9+IRFU!I9</f>
        <v>0</v>
      </c>
      <c r="J9" s="62">
        <f>GANIL!J9+IN2P3!J9+IRFU!J9</f>
        <v>105</v>
      </c>
      <c r="K9" s="44">
        <f>GANIL!K9+IN2P3!K9+IRFU!K9</f>
        <v>284</v>
      </c>
      <c r="L9" s="44">
        <f>GANIL!L9+IN2P3!L9+IRFU!L9</f>
        <v>80</v>
      </c>
      <c r="M9" s="44">
        <f>GANIL!M9+IN2P3!M9+IRFU!M9</f>
        <v>0</v>
      </c>
      <c r="N9" s="44">
        <f>GANIL!N9+IN2P3!N9+IRFU!N9</f>
        <v>0</v>
      </c>
      <c r="O9" s="42">
        <f t="shared" si="2"/>
        <v>643.79999999999995</v>
      </c>
    </row>
    <row r="10" spans="1:15" s="11" customFormat="1" ht="16.5" thickBot="1" x14ac:dyDescent="0.3">
      <c r="A10" s="45">
        <v>2025</v>
      </c>
      <c r="B10" s="41">
        <v>1776.4</v>
      </c>
      <c r="C10" s="46">
        <f t="shared" si="1"/>
        <v>365.05020000000002</v>
      </c>
      <c r="D10" s="47"/>
      <c r="E10" s="48">
        <f>GANIL!E10+IN2P3!E10+IRFU!E10</f>
        <v>2</v>
      </c>
      <c r="F10" s="63">
        <f>GANIL!F10+IN2P3!F10+IRFU!F10</f>
        <v>368.1</v>
      </c>
      <c r="G10" s="63">
        <f>GANIL!G10+IN2P3!G10+IRFU!G10</f>
        <v>2</v>
      </c>
      <c r="H10" s="63">
        <f>GANIL!H10+IN2P3!H10+IRFU!H10</f>
        <v>237.3</v>
      </c>
      <c r="I10" s="48">
        <f>GANIL!I10+IN2P3!I10+IRFU!I10</f>
        <v>0</v>
      </c>
      <c r="J10" s="48">
        <f>GANIL!J10+IN2P3!J10+IRFU!J10</f>
        <v>0</v>
      </c>
      <c r="K10" s="48">
        <f>GANIL!K10+IN2P3!K10+IRFU!K10</f>
        <v>0</v>
      </c>
      <c r="L10" s="48">
        <f>GANIL!L10+IN2P3!L10+IRFU!L10</f>
        <v>0</v>
      </c>
      <c r="M10" s="48">
        <f>GANIL!M10+IN2P3!M10+IRFU!M10</f>
        <v>0</v>
      </c>
      <c r="N10" s="48">
        <f>GANIL!N10+IN2P3!N10+IRFU!N10</f>
        <v>0</v>
      </c>
      <c r="O10" s="46">
        <f t="shared" si="2"/>
        <v>605.40000000000009</v>
      </c>
    </row>
    <row r="11" spans="1:15" s="11" customFormat="1" ht="16.5" thickBot="1" x14ac:dyDescent="0.3">
      <c r="A11" s="41">
        <v>2026</v>
      </c>
      <c r="B11" s="23">
        <v>2271.1999999999998</v>
      </c>
      <c r="C11" s="42">
        <f t="shared" si="1"/>
        <v>466.73159999999996</v>
      </c>
      <c r="D11" s="43"/>
      <c r="E11" s="44">
        <f>GANIL!E11+IN2P3!E11+IRFU!E11</f>
        <v>3</v>
      </c>
      <c r="F11" s="62">
        <f>GANIL!F11+IN2P3!F11+IRFU!F11</f>
        <v>540.1</v>
      </c>
      <c r="G11" s="62">
        <f>GANIL!G11+IN2P3!G11+IRFU!G11</f>
        <v>0</v>
      </c>
      <c r="H11" s="62">
        <f>GANIL!H11+IN2P3!H11+IRFU!H11</f>
        <v>0</v>
      </c>
      <c r="I11" s="44">
        <f>GANIL!I11+IN2P3!I11+IRFU!I11</f>
        <v>0</v>
      </c>
      <c r="J11" s="44">
        <f>GANIL!J11+IN2P3!J11+IRFU!J11</f>
        <v>0</v>
      </c>
      <c r="K11" s="44">
        <f>GANIL!K11+IN2P3!K11+IRFU!K11</f>
        <v>0</v>
      </c>
      <c r="L11" s="44">
        <f>GANIL!L11+IN2P3!L11+IRFU!L11</f>
        <v>0</v>
      </c>
      <c r="M11" s="44">
        <f>GANIL!M11+IN2P3!M11+IRFU!M11</f>
        <v>0</v>
      </c>
      <c r="N11" s="44">
        <f>GANIL!N11+IN2P3!N11+IRFU!N11</f>
        <v>0</v>
      </c>
      <c r="O11" s="42">
        <f t="shared" si="2"/>
        <v>540.1</v>
      </c>
    </row>
    <row r="12" spans="1:15" s="11" customFormat="1" ht="16.5" thickBot="1" x14ac:dyDescent="0.3">
      <c r="A12" s="49" t="s">
        <v>79</v>
      </c>
      <c r="B12" s="49">
        <f>SUM(B7:B11)</f>
        <v>10807.2</v>
      </c>
      <c r="C12" s="50">
        <f>SUM(C6:C11)</f>
        <v>2716.3606500000001</v>
      </c>
      <c r="D12" s="50">
        <f t="shared" ref="D12" si="3">SUM(D7:D11)</f>
        <v>0</v>
      </c>
      <c r="E12" s="50">
        <f t="shared" ref="E12:N12" si="4">SUM(E6:E11)</f>
        <v>11</v>
      </c>
      <c r="F12" s="50">
        <f t="shared" si="4"/>
        <v>1780.4</v>
      </c>
      <c r="G12" s="50">
        <f t="shared" si="4"/>
        <v>4</v>
      </c>
      <c r="H12" s="50">
        <f t="shared" si="4"/>
        <v>460.2</v>
      </c>
      <c r="I12" s="50">
        <f t="shared" si="4"/>
        <v>20</v>
      </c>
      <c r="J12" s="50">
        <f t="shared" si="4"/>
        <v>145</v>
      </c>
      <c r="K12" s="50">
        <f t="shared" si="4"/>
        <v>284</v>
      </c>
      <c r="L12" s="50">
        <f t="shared" si="4"/>
        <v>80</v>
      </c>
      <c r="M12" s="50">
        <f t="shared" si="4"/>
        <v>0</v>
      </c>
      <c r="N12" s="50">
        <f t="shared" si="4"/>
        <v>0</v>
      </c>
      <c r="O12" s="50">
        <f>SUM(O6:O11)</f>
        <v>2749.6</v>
      </c>
    </row>
    <row r="13" spans="1:15" s="11" customFormat="1" ht="16.5" thickBot="1" x14ac:dyDescent="0.3">
      <c r="A13" s="23">
        <v>2027</v>
      </c>
      <c r="B13" s="19">
        <v>2227.9</v>
      </c>
      <c r="C13" s="20">
        <f t="shared" si="1"/>
        <v>457.83344999999997</v>
      </c>
      <c r="D13" s="24"/>
      <c r="E13" s="25">
        <f>GANIL!E13+IN2P3!E13+IRFU!E13</f>
        <v>0</v>
      </c>
      <c r="F13" s="64">
        <f>GANIL!F13+IN2P3!F13+IRFU!F13</f>
        <v>0</v>
      </c>
      <c r="G13" s="64">
        <f>GANIL!G13+IN2P3!G13+IRFU!G13</f>
        <v>1</v>
      </c>
      <c r="H13" s="64">
        <f>GANIL!H13+IN2P3!H13+IRFU!H13</f>
        <v>119.83333333333333</v>
      </c>
      <c r="I13" s="25">
        <f>GANIL!I13+IN2P3!I13+IRFU!I13</f>
        <v>25</v>
      </c>
      <c r="J13" s="25">
        <f>GANIL!J13+IN2P3!J13+IRFU!J13</f>
        <v>50</v>
      </c>
      <c r="K13" s="25">
        <f>GANIL!K13+IN2P3!K13+IRFU!K13</f>
        <v>0</v>
      </c>
      <c r="L13" s="25">
        <f>GANIL!L13+IN2P3!L13+IRFU!L13</f>
        <v>0</v>
      </c>
      <c r="M13" s="25">
        <f>GANIL!M13+IN2P3!M13+IRFU!M13</f>
        <v>0</v>
      </c>
      <c r="N13" s="25">
        <f>GANIL!N13+IN2P3!N13+IRFU!N13</f>
        <v>0</v>
      </c>
      <c r="O13" s="20">
        <f t="shared" si="2"/>
        <v>169.83333333333331</v>
      </c>
    </row>
    <row r="14" spans="1:15" s="11" customFormat="1" ht="16.5" thickBot="1" x14ac:dyDescent="0.3">
      <c r="A14" s="19">
        <v>2028</v>
      </c>
      <c r="B14" s="23">
        <v>1970.5</v>
      </c>
      <c r="C14" s="20">
        <f t="shared" si="1"/>
        <v>404.93774999999999</v>
      </c>
      <c r="D14" s="21"/>
      <c r="E14" s="61">
        <f>GANIL!E14+IN2P3!E14+IRFU!E14</f>
        <v>2</v>
      </c>
      <c r="F14" s="65">
        <f>GANIL!F14+IN2P3!F14+IRFU!F14</f>
        <v>371.6</v>
      </c>
      <c r="G14" s="65">
        <f>GANIL!G14+IN2P3!G14+IRFU!G14</f>
        <v>0</v>
      </c>
      <c r="H14" s="65">
        <f>GANIL!H14+IN2P3!H14+IRFU!H14</f>
        <v>0</v>
      </c>
      <c r="I14" s="61">
        <f>GANIL!I14+IN2P3!I14+IRFU!I14</f>
        <v>0</v>
      </c>
      <c r="J14" s="61">
        <f>GANIL!J14+IN2P3!J14+IRFU!J14</f>
        <v>0</v>
      </c>
      <c r="K14" s="61">
        <f>GANIL!K14+IN2P3!K14+IRFU!K14</f>
        <v>48</v>
      </c>
      <c r="L14" s="61">
        <f>GANIL!L14+IN2P3!L14+IRFU!L14</f>
        <v>0</v>
      </c>
      <c r="M14" s="61">
        <f>GANIL!M14+IN2P3!M14+IRFU!M14</f>
        <v>0</v>
      </c>
      <c r="N14" s="61">
        <f>GANIL!N14+IN2P3!N14+IRFU!N14</f>
        <v>0</v>
      </c>
      <c r="O14" s="20">
        <f t="shared" si="2"/>
        <v>419.6</v>
      </c>
    </row>
    <row r="15" spans="1:15" s="11" customFormat="1" ht="16.5" thickBot="1" x14ac:dyDescent="0.3">
      <c r="A15" s="23">
        <v>2029</v>
      </c>
      <c r="B15" s="19">
        <v>2390.8000000000002</v>
      </c>
      <c r="C15" s="20">
        <f t="shared" si="1"/>
        <v>491.30939999999998</v>
      </c>
      <c r="D15" s="24"/>
      <c r="E15" s="25">
        <f>GANIL!E15+IN2P3!E15+IRFU!E15</f>
        <v>2</v>
      </c>
      <c r="F15" s="64">
        <f>GANIL!F15+IN2P3!F15+IRFU!F15</f>
        <v>390.4</v>
      </c>
      <c r="G15" s="64">
        <f>GANIL!G15+IN2P3!G15+IRFU!G15</f>
        <v>0</v>
      </c>
      <c r="H15" s="64">
        <f>GANIL!H15+IN2P3!H15+IRFU!H15</f>
        <v>0</v>
      </c>
      <c r="I15" s="25">
        <f>GANIL!I15+IN2P3!I15+IRFU!I15</f>
        <v>0</v>
      </c>
      <c r="J15" s="25">
        <f>GANIL!J15+IN2P3!J15+IRFU!J15</f>
        <v>0</v>
      </c>
      <c r="K15" s="25">
        <f>GANIL!K15+IN2P3!K15+IRFU!K15</f>
        <v>56</v>
      </c>
      <c r="L15" s="25">
        <f>GANIL!L15+IN2P3!L15+IRFU!L15</f>
        <v>0</v>
      </c>
      <c r="M15" s="25">
        <f>GANIL!M15+IN2P3!M15+IRFU!M15</f>
        <v>0</v>
      </c>
      <c r="N15" s="25">
        <f>GANIL!N15+IN2P3!N15+IRFU!N15</f>
        <v>0</v>
      </c>
      <c r="O15" s="20">
        <f t="shared" si="2"/>
        <v>446.4</v>
      </c>
    </row>
    <row r="16" spans="1:15" s="11" customFormat="1" ht="16.5" thickBot="1" x14ac:dyDescent="0.3">
      <c r="A16" s="19">
        <v>2030</v>
      </c>
      <c r="B16" s="23">
        <v>2087.6999999999998</v>
      </c>
      <c r="C16" s="20">
        <f t="shared" si="1"/>
        <v>429.02234999999996</v>
      </c>
      <c r="D16" s="21"/>
      <c r="E16" s="61">
        <f>GANIL!E16+IN2P3!E16+IRFU!E16</f>
        <v>1</v>
      </c>
      <c r="F16" s="65">
        <f>GANIL!F16+IN2P3!F16+IRFU!F16</f>
        <v>382.2</v>
      </c>
      <c r="G16" s="65">
        <f>GANIL!G16+IN2P3!G16+IRFU!G16</f>
        <v>0</v>
      </c>
      <c r="H16" s="65">
        <f>GANIL!H16+IN2P3!H16+IRFU!H16</f>
        <v>0</v>
      </c>
      <c r="I16" s="61">
        <f>GANIL!I16+IN2P3!I16+IRFU!I16</f>
        <v>0</v>
      </c>
      <c r="J16" s="61">
        <f>GANIL!J16+IN2P3!J16+IRFU!J16</f>
        <v>0</v>
      </c>
      <c r="K16" s="61">
        <f>GANIL!K16+IN2P3!K16+IRFU!K16</f>
        <v>0</v>
      </c>
      <c r="L16" s="61">
        <f>GANIL!L16+IN2P3!L16+IRFU!L16</f>
        <v>0</v>
      </c>
      <c r="M16" s="61">
        <f>GANIL!M16+IN2P3!M16+IRFU!M16</f>
        <v>0</v>
      </c>
      <c r="N16" s="61">
        <f>GANIL!N16+IN2P3!N16+IRFU!N16</f>
        <v>0</v>
      </c>
      <c r="O16" s="20">
        <f t="shared" si="2"/>
        <v>382.2</v>
      </c>
    </row>
    <row r="17" spans="1:15" s="11" customFormat="1" ht="16.5" thickBot="1" x14ac:dyDescent="0.3">
      <c r="A17" s="49" t="s">
        <v>78</v>
      </c>
      <c r="B17" s="49">
        <f t="shared" ref="B17:O17" si="5">SUM(B12:B16)</f>
        <v>19484.100000000002</v>
      </c>
      <c r="C17" s="50">
        <f>SUM(C12:C16)</f>
        <v>4499.4636</v>
      </c>
      <c r="D17" s="50">
        <f t="shared" si="5"/>
        <v>0</v>
      </c>
      <c r="E17" s="50">
        <f t="shared" si="5"/>
        <v>16</v>
      </c>
      <c r="F17" s="50">
        <f t="shared" si="5"/>
        <v>2924.6</v>
      </c>
      <c r="G17" s="50">
        <f t="shared" si="5"/>
        <v>5</v>
      </c>
      <c r="H17" s="50">
        <f t="shared" si="5"/>
        <v>580.0333333333333</v>
      </c>
      <c r="I17" s="50">
        <f t="shared" si="5"/>
        <v>45</v>
      </c>
      <c r="J17" s="50">
        <f t="shared" si="5"/>
        <v>195</v>
      </c>
      <c r="K17" s="50">
        <f t="shared" si="5"/>
        <v>388</v>
      </c>
      <c r="L17" s="50">
        <f t="shared" si="5"/>
        <v>80</v>
      </c>
      <c r="M17" s="50">
        <f t="shared" si="5"/>
        <v>0</v>
      </c>
      <c r="N17" s="50">
        <f t="shared" si="5"/>
        <v>0</v>
      </c>
      <c r="O17" s="50">
        <f t="shared" si="5"/>
        <v>4167.6333333333332</v>
      </c>
    </row>
    <row r="18" spans="1:15" s="11" customFormat="1" ht="18" customHeight="1" thickBot="1" x14ac:dyDescent="0.3">
      <c r="A18" s="24"/>
      <c r="B18" s="24"/>
      <c r="C18" s="24" t="s">
        <v>17</v>
      </c>
      <c r="D18" s="24"/>
      <c r="E18" s="137" t="s">
        <v>18</v>
      </c>
      <c r="F18" s="138"/>
      <c r="G18" s="139" t="s">
        <v>19</v>
      </c>
      <c r="H18" s="140"/>
      <c r="I18" s="28"/>
      <c r="J18" s="23"/>
      <c r="K18" s="23"/>
      <c r="L18" s="24"/>
      <c r="M18" s="23"/>
      <c r="N18" s="23"/>
      <c r="O18" s="29"/>
    </row>
    <row r="19" spans="1:15" s="11" customFormat="1" ht="15.95" customHeight="1" x14ac:dyDescent="0.25">
      <c r="A19" s="141"/>
      <c r="B19" s="30"/>
      <c r="C19" s="143" t="s">
        <v>20</v>
      </c>
      <c r="D19" s="141"/>
      <c r="E19" s="145">
        <f>F17/O17</f>
        <v>0.70174119604251817</v>
      </c>
      <c r="F19" s="127"/>
      <c r="G19" s="147">
        <f>H17/O17</f>
        <v>0.13917571123499348</v>
      </c>
      <c r="H19" s="148"/>
      <c r="I19" s="31"/>
      <c r="J19" s="125">
        <f>(J17+L17)/O17</f>
        <v>6.5984691551560046E-2</v>
      </c>
      <c r="K19" s="126"/>
      <c r="L19" s="126"/>
      <c r="M19" s="126"/>
      <c r="N19" s="127"/>
      <c r="O19" s="131">
        <f>O17/C17</f>
        <v>0.9262511498778061</v>
      </c>
    </row>
    <row r="20" spans="1:15" s="11" customFormat="1" ht="16.5" thickBot="1" x14ac:dyDescent="0.3">
      <c r="A20" s="142"/>
      <c r="B20" s="32"/>
      <c r="C20" s="144"/>
      <c r="D20" s="142"/>
      <c r="E20" s="146"/>
      <c r="F20" s="130"/>
      <c r="G20" s="149"/>
      <c r="H20" s="150"/>
      <c r="I20" s="33"/>
      <c r="J20" s="128"/>
      <c r="K20" s="129"/>
      <c r="L20" s="129"/>
      <c r="M20" s="129"/>
      <c r="N20" s="130"/>
      <c r="O20" s="132"/>
    </row>
    <row r="21" spans="1:15" x14ac:dyDescent="0.25">
      <c r="O21" s="34">
        <f>SUM(E19+G19+J19)</f>
        <v>0.90690159882907173</v>
      </c>
    </row>
    <row r="22" spans="1:15" x14ac:dyDescent="0.25">
      <c r="B22" s="35" t="s">
        <v>21</v>
      </c>
      <c r="C22" s="36">
        <f>26*B1</f>
        <v>5.343</v>
      </c>
      <c r="J22" s="37"/>
      <c r="K22" s="37"/>
      <c r="M22" s="37"/>
      <c r="N22" s="37"/>
      <c r="O22" s="37">
        <f>O17-C17</f>
        <v>-331.83026666666683</v>
      </c>
    </row>
    <row r="23" spans="1:15" x14ac:dyDescent="0.25">
      <c r="B23" s="35"/>
      <c r="C23" s="36" t="s">
        <v>22</v>
      </c>
      <c r="D23" s="38"/>
      <c r="F23" s="1" t="s">
        <v>17</v>
      </c>
      <c r="K23" s="1" t="s">
        <v>17</v>
      </c>
    </row>
    <row r="24" spans="1:15" ht="15.95" customHeight="1" x14ac:dyDescent="0.25">
      <c r="C24" s="38"/>
      <c r="D24" s="38"/>
      <c r="J24" s="133" t="s">
        <v>23</v>
      </c>
      <c r="K24" s="134"/>
      <c r="L24" s="135" t="s">
        <v>24</v>
      </c>
      <c r="M24" s="136"/>
    </row>
    <row r="25" spans="1:15" ht="47.25" x14ac:dyDescent="0.25">
      <c r="H25" s="1" t="s">
        <v>17</v>
      </c>
      <c r="I25" s="51" t="s">
        <v>25</v>
      </c>
      <c r="J25" s="52" t="s">
        <v>26</v>
      </c>
      <c r="K25" s="52" t="s">
        <v>27</v>
      </c>
      <c r="L25" s="116" t="s">
        <v>28</v>
      </c>
      <c r="M25" s="53" t="s">
        <v>29</v>
      </c>
    </row>
    <row r="26" spans="1:15" x14ac:dyDescent="0.25">
      <c r="I26" s="54">
        <v>2021</v>
      </c>
      <c r="J26" s="54">
        <v>20</v>
      </c>
      <c r="K26" s="115"/>
      <c r="L26" s="119">
        <f>GANIL!L26+IN2P3!L26+IRFU!L26</f>
        <v>20</v>
      </c>
      <c r="M26" s="114">
        <v>2021</v>
      </c>
    </row>
    <row r="27" spans="1:15" x14ac:dyDescent="0.25">
      <c r="I27" s="54">
        <v>2022</v>
      </c>
      <c r="J27" s="54"/>
      <c r="K27" s="115">
        <v>20</v>
      </c>
      <c r="L27" s="119">
        <f>GANIL!L27+IN2P3!L27+IRFU!L27</f>
        <v>0</v>
      </c>
      <c r="M27" s="114">
        <f>M26+1</f>
        <v>2022</v>
      </c>
    </row>
    <row r="28" spans="1:15" x14ac:dyDescent="0.25">
      <c r="I28" s="54">
        <v>2023</v>
      </c>
      <c r="J28" s="54">
        <v>25</v>
      </c>
      <c r="K28" s="115"/>
      <c r="L28" s="119">
        <f>GANIL!L28+IN2P3!L28+IRFU!L28</f>
        <v>0</v>
      </c>
      <c r="M28" s="114">
        <f t="shared" ref="M28:M35" si="6">M27+1</f>
        <v>2023</v>
      </c>
    </row>
    <row r="29" spans="1:15" x14ac:dyDescent="0.25">
      <c r="I29" s="54">
        <v>2024</v>
      </c>
      <c r="J29" s="54"/>
      <c r="K29" s="115"/>
      <c r="L29" s="119">
        <f>GANIL!L29+IN2P3!L29+IRFU!L29</f>
        <v>0</v>
      </c>
      <c r="M29" s="114">
        <f t="shared" si="6"/>
        <v>2024</v>
      </c>
      <c r="N29" s="1" t="s">
        <v>30</v>
      </c>
      <c r="O29" s="1" t="s">
        <v>31</v>
      </c>
    </row>
    <row r="30" spans="1:15" x14ac:dyDescent="0.25">
      <c r="I30" s="54">
        <v>2025</v>
      </c>
      <c r="J30" s="54"/>
      <c r="K30" s="115">
        <v>3</v>
      </c>
      <c r="L30" s="119">
        <f>GANIL!L30+IN2P3!L30+IRFU!L30</f>
        <v>0</v>
      </c>
      <c r="M30" s="114">
        <f t="shared" si="6"/>
        <v>2025</v>
      </c>
      <c r="N30" s="37">
        <f>SUM(L26:L30)</f>
        <v>20</v>
      </c>
      <c r="O30" s="37">
        <f>N30-J36</f>
        <v>-25</v>
      </c>
    </row>
    <row r="31" spans="1:15" x14ac:dyDescent="0.25">
      <c r="I31" s="54">
        <v>2026</v>
      </c>
      <c r="J31" s="54"/>
      <c r="K31" s="115">
        <v>15</v>
      </c>
      <c r="L31" s="119">
        <f>GANIL!L31+IN2P3!L31+IRFU!L31</f>
        <v>0</v>
      </c>
      <c r="M31" s="114">
        <f t="shared" si="6"/>
        <v>2026</v>
      </c>
    </row>
    <row r="32" spans="1:15" x14ac:dyDescent="0.25">
      <c r="I32" s="54">
        <v>2027</v>
      </c>
      <c r="J32" s="54"/>
      <c r="K32" s="115">
        <v>20</v>
      </c>
      <c r="L32" s="119">
        <f>GANIL!L32+IN2P3!L32+IRFU!L32</f>
        <v>25</v>
      </c>
      <c r="M32" s="114">
        <f t="shared" si="6"/>
        <v>2027</v>
      </c>
    </row>
    <row r="33" spans="9:16" x14ac:dyDescent="0.25">
      <c r="I33" s="54">
        <v>2028</v>
      </c>
      <c r="J33" s="54"/>
      <c r="K33" s="115"/>
      <c r="L33" s="119">
        <f>GANIL!L33+IN2P3!L33+IRFU!L33</f>
        <v>0</v>
      </c>
      <c r="M33" s="114">
        <f t="shared" si="6"/>
        <v>2028</v>
      </c>
    </row>
    <row r="34" spans="9:16" x14ac:dyDescent="0.25">
      <c r="I34" s="54">
        <v>2029</v>
      </c>
      <c r="J34" s="54"/>
      <c r="K34" s="115">
        <v>20</v>
      </c>
      <c r="L34" s="119">
        <f>GANIL!L34+IN2P3!L34+IRFU!L34</f>
        <v>0</v>
      </c>
      <c r="M34" s="114">
        <f t="shared" si="6"/>
        <v>2029</v>
      </c>
      <c r="N34" s="1" t="s">
        <v>31</v>
      </c>
    </row>
    <row r="35" spans="9:16" x14ac:dyDescent="0.25">
      <c r="I35" s="54">
        <v>2030</v>
      </c>
      <c r="J35" s="54"/>
      <c r="K35" s="115"/>
      <c r="L35" s="119">
        <f>GANIL!L35+IN2P3!L35+IRFU!L35</f>
        <v>0</v>
      </c>
      <c r="M35" s="114">
        <f t="shared" si="6"/>
        <v>2030</v>
      </c>
      <c r="N35" s="37">
        <f>SUM(L31:L35)</f>
        <v>25</v>
      </c>
    </row>
    <row r="36" spans="9:16" x14ac:dyDescent="0.25">
      <c r="I36" s="1" t="s">
        <v>32</v>
      </c>
      <c r="J36" s="1">
        <f>SUM(J26:J35)</f>
        <v>45</v>
      </c>
      <c r="K36" s="1">
        <f>SUM(K26:K35)</f>
        <v>78</v>
      </c>
      <c r="L36" s="37">
        <f>SUM(L26:L35)</f>
        <v>45</v>
      </c>
      <c r="P36" s="1" t="s">
        <v>17</v>
      </c>
    </row>
    <row r="37" spans="9:16" x14ac:dyDescent="0.25">
      <c r="K37" s="1">
        <f>SUM(J36:K36)</f>
        <v>123</v>
      </c>
      <c r="L37" s="1" t="s">
        <v>17</v>
      </c>
      <c r="M37" s="1" t="s">
        <v>17</v>
      </c>
    </row>
    <row r="38" spans="9:16" x14ac:dyDescent="0.25">
      <c r="J38" s="1" t="s">
        <v>17</v>
      </c>
    </row>
  </sheetData>
  <mergeCells count="18">
    <mergeCell ref="B2:C2"/>
    <mergeCell ref="E3:F3"/>
    <mergeCell ref="G3:H3"/>
    <mergeCell ref="I3:J3"/>
    <mergeCell ref="E5:F5"/>
    <mergeCell ref="G5:H5"/>
    <mergeCell ref="I5:J5"/>
    <mergeCell ref="A19:A20"/>
    <mergeCell ref="C19:C20"/>
    <mergeCell ref="D19:D20"/>
    <mergeCell ref="E19:F20"/>
    <mergeCell ref="G19:H20"/>
    <mergeCell ref="J19:N20"/>
    <mergeCell ref="O19:O20"/>
    <mergeCell ref="J24:K24"/>
    <mergeCell ref="L24:M24"/>
    <mergeCell ref="E18:F18"/>
    <mergeCell ref="G18:H18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abSelected="1" topLeftCell="A2" workbookViewId="0">
      <selection activeCell="E8" sqref="E8"/>
    </sheetView>
  </sheetViews>
  <sheetFormatPr baseColWidth="10" defaultColWidth="10.875" defaultRowHeight="15.75" x14ac:dyDescent="0.25"/>
  <cols>
    <col min="1" max="4" width="10.875" style="1"/>
    <col min="5" max="5" width="4.125" style="1" customWidth="1"/>
    <col min="6" max="6" width="8.5" style="1" customWidth="1"/>
    <col min="7" max="7" width="4.5" style="1" customWidth="1"/>
    <col min="8" max="8" width="7.625" style="1" customWidth="1"/>
    <col min="9" max="9" width="5.625" style="1" customWidth="1"/>
    <col min="10" max="10" width="10.625" style="1" customWidth="1"/>
    <col min="11" max="12" width="10.875" style="1"/>
    <col min="13" max="13" width="10.375" style="1" customWidth="1"/>
    <col min="14" max="14" width="10.875" style="1"/>
    <col min="15" max="15" width="15.5" style="1" customWidth="1"/>
    <col min="16" max="16384" width="10.875" style="1"/>
  </cols>
  <sheetData>
    <row r="1" spans="1:15" ht="21" x14ac:dyDescent="0.25">
      <c r="A1" s="3" t="s">
        <v>35</v>
      </c>
      <c r="B1" s="4">
        <f>20.55%/2</f>
        <v>0.10275000000000001</v>
      </c>
      <c r="F1" s="2"/>
      <c r="I1" s="2"/>
    </row>
    <row r="2" spans="1:15" ht="21.75" thickBot="1" x14ac:dyDescent="0.3">
      <c r="B2" s="151" t="s">
        <v>1</v>
      </c>
      <c r="C2" s="152"/>
      <c r="I2" s="5"/>
    </row>
    <row r="3" spans="1:15" s="11" customFormat="1" ht="17.100000000000001" customHeight="1" x14ac:dyDescent="0.25">
      <c r="A3" s="6" t="s">
        <v>2</v>
      </c>
      <c r="B3" s="7" t="s">
        <v>3</v>
      </c>
      <c r="C3" s="7" t="str">
        <f>A1</f>
        <v>GANIL</v>
      </c>
      <c r="D3" s="6" t="s">
        <v>4</v>
      </c>
      <c r="E3" s="153" t="s">
        <v>5</v>
      </c>
      <c r="F3" s="154"/>
      <c r="G3" s="153" t="s">
        <v>6</v>
      </c>
      <c r="H3" s="154"/>
      <c r="I3" s="153" t="s">
        <v>7</v>
      </c>
      <c r="J3" s="155"/>
      <c r="K3" s="8" t="s">
        <v>8</v>
      </c>
      <c r="L3" s="9" t="s">
        <v>9</v>
      </c>
      <c r="M3" s="8" t="s">
        <v>10</v>
      </c>
      <c r="N3" s="8" t="s">
        <v>11</v>
      </c>
      <c r="O3" s="55" t="s">
        <v>12</v>
      </c>
    </row>
    <row r="4" spans="1:15" s="11" customFormat="1" x14ac:dyDescent="0.25">
      <c r="A4" s="12"/>
      <c r="B4" s="12"/>
      <c r="C4" s="39">
        <f>B1</f>
        <v>0.10275000000000001</v>
      </c>
      <c r="D4" s="12"/>
      <c r="E4" s="13"/>
      <c r="F4" s="14"/>
      <c r="G4" s="55" t="s">
        <v>13</v>
      </c>
      <c r="H4" s="55" t="s">
        <v>14</v>
      </c>
      <c r="I4" s="8" t="s">
        <v>13</v>
      </c>
      <c r="J4" s="14"/>
      <c r="K4" s="8"/>
      <c r="L4" s="15"/>
      <c r="M4" s="8"/>
      <c r="N4" s="8"/>
      <c r="O4" s="8"/>
    </row>
    <row r="5" spans="1:15" s="11" customFormat="1" ht="18" customHeight="1" thickBot="1" x14ac:dyDescent="0.3">
      <c r="A5" s="16"/>
      <c r="B5" s="16" t="s">
        <v>15</v>
      </c>
      <c r="C5" s="40" t="s">
        <v>15</v>
      </c>
      <c r="D5" s="16" t="s">
        <v>15</v>
      </c>
      <c r="E5" s="156" t="s">
        <v>16</v>
      </c>
      <c r="F5" s="157"/>
      <c r="G5" s="158" t="s">
        <v>16</v>
      </c>
      <c r="H5" s="159"/>
      <c r="I5" s="160" t="s">
        <v>16</v>
      </c>
      <c r="J5" s="161"/>
      <c r="K5" s="17" t="s">
        <v>16</v>
      </c>
      <c r="L5" s="18" t="s">
        <v>16</v>
      </c>
      <c r="M5" s="18" t="s">
        <v>16</v>
      </c>
      <c r="N5" s="18" t="s">
        <v>16</v>
      </c>
      <c r="O5" s="18" t="s">
        <v>16</v>
      </c>
    </row>
    <row r="6" spans="1:15" s="11" customFormat="1" ht="17.25" thickTop="1" thickBot="1" x14ac:dyDescent="0.3">
      <c r="A6" s="45">
        <v>2021</v>
      </c>
      <c r="B6" s="41">
        <v>2411.1</v>
      </c>
      <c r="C6" s="46">
        <f t="shared" ref="C6" si="0">B6*$C$4</f>
        <v>247.74052500000002</v>
      </c>
      <c r="D6" s="47"/>
      <c r="E6" s="48"/>
      <c r="F6" s="46"/>
      <c r="G6" s="45"/>
      <c r="H6" s="46"/>
      <c r="I6" s="46"/>
      <c r="J6" s="46"/>
      <c r="K6" s="46"/>
      <c r="L6" s="47"/>
      <c r="M6" s="46"/>
      <c r="N6" s="46"/>
      <c r="O6" s="46">
        <f t="shared" ref="O6" si="1">F6+H6+J6+K6+L6+M6+N6</f>
        <v>0</v>
      </c>
    </row>
    <row r="7" spans="1:15" s="11" customFormat="1" ht="16.5" thickBot="1" x14ac:dyDescent="0.3">
      <c r="A7" s="41">
        <v>2022</v>
      </c>
      <c r="B7" s="45">
        <v>2218</v>
      </c>
      <c r="C7" s="42">
        <f>B7*$C$4</f>
        <v>227.89950000000002</v>
      </c>
      <c r="D7" s="43"/>
      <c r="E7" s="44">
        <v>2</v>
      </c>
      <c r="F7" s="42">
        <v>169.7</v>
      </c>
      <c r="G7" s="41"/>
      <c r="H7" s="42"/>
      <c r="I7" s="42"/>
      <c r="J7" s="42"/>
      <c r="K7" s="42"/>
      <c r="L7" s="41"/>
      <c r="M7" s="42"/>
      <c r="N7" s="42"/>
      <c r="O7" s="42">
        <f>F7+H7+J7+K7+L7+M7+N7</f>
        <v>169.7</v>
      </c>
    </row>
    <row r="8" spans="1:15" s="11" customFormat="1" ht="16.5" thickBot="1" x14ac:dyDescent="0.3">
      <c r="A8" s="45">
        <v>2023</v>
      </c>
      <c r="B8" s="41">
        <v>2260.1</v>
      </c>
      <c r="C8" s="46">
        <f t="shared" ref="C8:C16" si="2">B8*$C$4</f>
        <v>232.22527500000001</v>
      </c>
      <c r="D8" s="47"/>
      <c r="E8" s="48">
        <v>1</v>
      </c>
      <c r="F8" s="46">
        <v>178.7</v>
      </c>
      <c r="G8" s="45">
        <v>1</v>
      </c>
      <c r="H8" s="46">
        <f>338.7/3*G8</f>
        <v>112.89999999999999</v>
      </c>
      <c r="I8" s="46"/>
      <c r="J8" s="46"/>
      <c r="K8" s="46"/>
      <c r="L8" s="47"/>
      <c r="M8" s="46"/>
      <c r="N8" s="46"/>
      <c r="O8" s="46">
        <f t="shared" ref="O8:O16" si="3">F8+H8+J8+K8+L8+M8+N8</f>
        <v>291.59999999999997</v>
      </c>
    </row>
    <row r="9" spans="1:15" s="11" customFormat="1" ht="16.5" thickBot="1" x14ac:dyDescent="0.3">
      <c r="A9" s="41">
        <v>2024</v>
      </c>
      <c r="B9" s="45">
        <v>2281.5</v>
      </c>
      <c r="C9" s="42">
        <f t="shared" si="2"/>
        <v>234.42412500000003</v>
      </c>
      <c r="D9" s="43"/>
      <c r="E9" s="44">
        <v>1</v>
      </c>
      <c r="F9" s="42">
        <v>174.8</v>
      </c>
      <c r="G9" s="41"/>
      <c r="H9" s="42"/>
      <c r="I9" s="42"/>
      <c r="J9" s="42">
        <v>105</v>
      </c>
      <c r="K9" s="42"/>
      <c r="L9" s="41"/>
      <c r="M9" s="42"/>
      <c r="N9" s="42"/>
      <c r="O9" s="42">
        <f t="shared" si="3"/>
        <v>279.8</v>
      </c>
    </row>
    <row r="10" spans="1:15" s="11" customFormat="1" ht="16.5" thickBot="1" x14ac:dyDescent="0.3">
      <c r="A10" s="45">
        <v>2025</v>
      </c>
      <c r="B10" s="41">
        <v>1776.4</v>
      </c>
      <c r="C10" s="46">
        <f t="shared" si="2"/>
        <v>182.52510000000004</v>
      </c>
      <c r="D10" s="47"/>
      <c r="E10" s="48">
        <v>1</v>
      </c>
      <c r="F10" s="46">
        <v>184.1</v>
      </c>
      <c r="G10" s="45">
        <v>1</v>
      </c>
      <c r="H10" s="46">
        <v>121</v>
      </c>
      <c r="I10" s="46"/>
      <c r="J10" s="46"/>
      <c r="K10" s="46"/>
      <c r="L10" s="47"/>
      <c r="M10" s="46"/>
      <c r="N10" s="46"/>
      <c r="O10" s="46">
        <f t="shared" si="3"/>
        <v>305.10000000000002</v>
      </c>
    </row>
    <row r="11" spans="1:15" s="11" customFormat="1" ht="16.5" thickBot="1" x14ac:dyDescent="0.3">
      <c r="A11" s="41">
        <v>2026</v>
      </c>
      <c r="B11" s="23">
        <v>2271.1999999999998</v>
      </c>
      <c r="C11" s="42">
        <f t="shared" si="2"/>
        <v>233.36580000000001</v>
      </c>
      <c r="D11" s="43"/>
      <c r="E11" s="44">
        <v>1</v>
      </c>
      <c r="F11" s="42">
        <v>180.1</v>
      </c>
      <c r="G11" s="41"/>
      <c r="H11" s="42"/>
      <c r="I11" s="42"/>
      <c r="J11" s="42"/>
      <c r="K11" s="42"/>
      <c r="L11" s="41"/>
      <c r="M11" s="42"/>
      <c r="N11" s="42"/>
      <c r="O11" s="42">
        <f t="shared" si="3"/>
        <v>180.1</v>
      </c>
    </row>
    <row r="12" spans="1:15" s="11" customFormat="1" ht="16.5" thickBot="1" x14ac:dyDescent="0.3">
      <c r="A12" s="49" t="s">
        <v>79</v>
      </c>
      <c r="B12" s="49">
        <f>SUM(B6:B11)</f>
        <v>13218.3</v>
      </c>
      <c r="C12" s="50">
        <f>SUM(C6:C11)</f>
        <v>1358.180325</v>
      </c>
      <c r="D12" s="50">
        <f t="shared" ref="D12" si="4">SUM(D7:D11)</f>
        <v>0</v>
      </c>
      <c r="E12" s="50">
        <f t="shared" ref="E12:N12" si="5">SUM(E6:E11)</f>
        <v>6</v>
      </c>
      <c r="F12" s="50">
        <f>SUM(F6:F11)</f>
        <v>887.40000000000009</v>
      </c>
      <c r="G12" s="50">
        <f t="shared" si="5"/>
        <v>2</v>
      </c>
      <c r="H12" s="50">
        <f t="shared" si="5"/>
        <v>233.89999999999998</v>
      </c>
      <c r="I12" s="50">
        <f t="shared" si="5"/>
        <v>0</v>
      </c>
      <c r="J12" s="50">
        <f t="shared" si="5"/>
        <v>105</v>
      </c>
      <c r="K12" s="50">
        <f t="shared" si="5"/>
        <v>0</v>
      </c>
      <c r="L12" s="50">
        <f t="shared" si="5"/>
        <v>0</v>
      </c>
      <c r="M12" s="50">
        <f t="shared" si="5"/>
        <v>0</v>
      </c>
      <c r="N12" s="50">
        <f t="shared" si="5"/>
        <v>0</v>
      </c>
      <c r="O12" s="50">
        <f>SUM(O6:O11)</f>
        <v>1226.2999999999997</v>
      </c>
    </row>
    <row r="13" spans="1:15" s="11" customFormat="1" ht="16.5" thickBot="1" x14ac:dyDescent="0.3">
      <c r="A13" s="23">
        <v>2027</v>
      </c>
      <c r="B13" s="19">
        <v>2227.9</v>
      </c>
      <c r="C13" s="20">
        <f t="shared" si="2"/>
        <v>228.91672500000001</v>
      </c>
      <c r="D13" s="24"/>
      <c r="E13" s="25"/>
      <c r="F13" s="26"/>
      <c r="G13" s="23">
        <v>1</v>
      </c>
      <c r="H13" s="26">
        <f>359.5/3*G13</f>
        <v>119.83333333333333</v>
      </c>
      <c r="I13" s="26"/>
      <c r="J13" s="26"/>
      <c r="K13" s="26"/>
      <c r="L13" s="24"/>
      <c r="M13" s="26"/>
      <c r="N13" s="26"/>
      <c r="O13" s="20">
        <f t="shared" si="3"/>
        <v>119.83333333333333</v>
      </c>
    </row>
    <row r="14" spans="1:15" s="11" customFormat="1" ht="16.5" thickBot="1" x14ac:dyDescent="0.3">
      <c r="A14" s="19">
        <v>2028</v>
      </c>
      <c r="B14" s="23">
        <v>1970.5</v>
      </c>
      <c r="C14" s="20">
        <f t="shared" si="2"/>
        <v>202.46887500000003</v>
      </c>
      <c r="D14" s="21"/>
      <c r="E14" s="22">
        <v>1</v>
      </c>
      <c r="F14" s="20">
        <v>185.6</v>
      </c>
      <c r="G14" s="19"/>
      <c r="H14" s="20"/>
      <c r="I14" s="20"/>
      <c r="J14" s="20"/>
      <c r="K14" s="20"/>
      <c r="L14" s="21"/>
      <c r="M14" s="20"/>
      <c r="N14" s="20"/>
      <c r="O14" s="20">
        <f t="shared" si="3"/>
        <v>185.6</v>
      </c>
    </row>
    <row r="15" spans="1:15" s="11" customFormat="1" ht="16.5" thickBot="1" x14ac:dyDescent="0.3">
      <c r="A15" s="23">
        <v>2029</v>
      </c>
      <c r="B15" s="19">
        <v>2390.8000000000002</v>
      </c>
      <c r="C15" s="20">
        <f t="shared" si="2"/>
        <v>245.65470000000005</v>
      </c>
      <c r="D15" s="24"/>
      <c r="E15" s="25">
        <v>1</v>
      </c>
      <c r="F15" s="113">
        <v>195.4</v>
      </c>
      <c r="G15" s="23"/>
      <c r="H15" s="26"/>
      <c r="I15" s="26"/>
      <c r="J15" s="26"/>
      <c r="K15" s="26"/>
      <c r="L15" s="24"/>
      <c r="M15" s="26"/>
      <c r="N15" s="26"/>
      <c r="O15" s="20">
        <f t="shared" si="3"/>
        <v>195.4</v>
      </c>
    </row>
    <row r="16" spans="1:15" s="11" customFormat="1" ht="16.5" thickBot="1" x14ac:dyDescent="0.3">
      <c r="A16" s="19">
        <v>2030</v>
      </c>
      <c r="B16" s="23">
        <v>2087.6999999999998</v>
      </c>
      <c r="C16" s="20">
        <f t="shared" si="2"/>
        <v>214.51117500000001</v>
      </c>
      <c r="D16" s="21"/>
      <c r="E16" s="22">
        <v>0</v>
      </c>
      <c r="F16" s="20">
        <v>191.2</v>
      </c>
      <c r="G16" s="19"/>
      <c r="H16" s="20"/>
      <c r="I16" s="20"/>
      <c r="J16" s="27"/>
      <c r="K16" s="27"/>
      <c r="L16" s="19"/>
      <c r="M16" s="27"/>
      <c r="N16" s="27"/>
      <c r="O16" s="20">
        <f t="shared" si="3"/>
        <v>191.2</v>
      </c>
    </row>
    <row r="17" spans="1:15" s="11" customFormat="1" ht="16.5" thickBot="1" x14ac:dyDescent="0.3">
      <c r="A17" s="49" t="s">
        <v>78</v>
      </c>
      <c r="B17" s="49">
        <f>SUM(B12:B16)</f>
        <v>21895.199999999997</v>
      </c>
      <c r="C17" s="50">
        <f t="shared" ref="C17:O17" si="6">SUM(C12:C16)</f>
        <v>2249.7318</v>
      </c>
      <c r="D17" s="50">
        <f t="shared" si="6"/>
        <v>0</v>
      </c>
      <c r="E17" s="50">
        <f t="shared" si="6"/>
        <v>8</v>
      </c>
      <c r="F17" s="50">
        <f t="shared" si="6"/>
        <v>1459.6000000000001</v>
      </c>
      <c r="G17" s="50">
        <f t="shared" si="6"/>
        <v>3</v>
      </c>
      <c r="H17" s="50">
        <f t="shared" si="6"/>
        <v>353.73333333333329</v>
      </c>
      <c r="I17" s="50">
        <f t="shared" si="6"/>
        <v>0</v>
      </c>
      <c r="J17" s="50">
        <f t="shared" si="6"/>
        <v>105</v>
      </c>
      <c r="K17" s="50">
        <f t="shared" si="6"/>
        <v>0</v>
      </c>
      <c r="L17" s="50">
        <f t="shared" si="6"/>
        <v>0</v>
      </c>
      <c r="M17" s="50">
        <f t="shared" si="6"/>
        <v>0</v>
      </c>
      <c r="N17" s="50">
        <f t="shared" si="6"/>
        <v>0</v>
      </c>
      <c r="O17" s="50">
        <f t="shared" si="6"/>
        <v>1918.333333333333</v>
      </c>
    </row>
    <row r="18" spans="1:15" s="11" customFormat="1" ht="18" customHeight="1" thickBot="1" x14ac:dyDescent="0.3">
      <c r="A18" s="24"/>
      <c r="B18" s="24"/>
      <c r="C18" s="24" t="s">
        <v>17</v>
      </c>
      <c r="D18" s="24"/>
      <c r="E18" s="137" t="s">
        <v>33</v>
      </c>
      <c r="F18" s="138"/>
      <c r="G18" s="139" t="s">
        <v>34</v>
      </c>
      <c r="H18" s="140"/>
      <c r="I18" s="28"/>
      <c r="J18" s="23"/>
      <c r="K18" s="23"/>
      <c r="L18" s="24"/>
      <c r="M18" s="23"/>
      <c r="N18" s="23"/>
      <c r="O18" s="29"/>
    </row>
    <row r="19" spans="1:15" s="11" customFormat="1" ht="15.95" customHeight="1" x14ac:dyDescent="0.25">
      <c r="A19" s="141"/>
      <c r="B19" s="56"/>
      <c r="C19" s="143" t="s">
        <v>20</v>
      </c>
      <c r="D19" s="141"/>
      <c r="E19" s="145">
        <f>F17/O17</f>
        <v>0.76086880973066917</v>
      </c>
      <c r="F19" s="127"/>
      <c r="G19" s="147">
        <f>H17/O17</f>
        <v>0.18439617723718507</v>
      </c>
      <c r="H19" s="148"/>
      <c r="I19" s="58"/>
      <c r="J19" s="125">
        <f>(J17+L17)/O17</f>
        <v>5.4735013032145965E-2</v>
      </c>
      <c r="K19" s="126"/>
      <c r="L19" s="126"/>
      <c r="M19" s="126"/>
      <c r="N19" s="127"/>
      <c r="O19" s="131">
        <f>O17/C17</f>
        <v>0.85269423374525488</v>
      </c>
    </row>
    <row r="20" spans="1:15" s="11" customFormat="1" ht="16.5" thickBot="1" x14ac:dyDescent="0.3">
      <c r="A20" s="142"/>
      <c r="B20" s="57"/>
      <c r="C20" s="144"/>
      <c r="D20" s="142"/>
      <c r="E20" s="146"/>
      <c r="F20" s="130"/>
      <c r="G20" s="149"/>
      <c r="H20" s="150"/>
      <c r="I20" s="59"/>
      <c r="J20" s="128"/>
      <c r="K20" s="129"/>
      <c r="L20" s="129"/>
      <c r="M20" s="129"/>
      <c r="N20" s="130"/>
      <c r="O20" s="132"/>
    </row>
    <row r="21" spans="1:15" x14ac:dyDescent="0.25">
      <c r="O21" s="34">
        <f>SUM(E19+G19+J19)</f>
        <v>1.0000000000000002</v>
      </c>
    </row>
    <row r="22" spans="1:15" x14ac:dyDescent="0.25">
      <c r="B22" s="35" t="s">
        <v>21</v>
      </c>
      <c r="C22" s="36">
        <f>26*B1</f>
        <v>2.6715</v>
      </c>
      <c r="H22" s="1" t="s">
        <v>17</v>
      </c>
      <c r="J22" s="37"/>
      <c r="K22" s="37"/>
      <c r="M22" s="37"/>
      <c r="N22" s="37"/>
      <c r="O22" s="37">
        <f>O17-C17</f>
        <v>-331.39846666666699</v>
      </c>
    </row>
    <row r="23" spans="1:15" x14ac:dyDescent="0.25">
      <c r="B23" s="35"/>
      <c r="C23" s="36" t="s">
        <v>39</v>
      </c>
      <c r="D23" s="38"/>
      <c r="F23" s="1" t="s">
        <v>17</v>
      </c>
      <c r="K23" s="1" t="s">
        <v>17</v>
      </c>
    </row>
    <row r="24" spans="1:15" ht="15.95" customHeight="1" x14ac:dyDescent="0.25">
      <c r="C24" s="38"/>
      <c r="D24" s="38"/>
      <c r="J24" s="133" t="s">
        <v>23</v>
      </c>
      <c r="K24" s="134"/>
      <c r="L24" s="135" t="s">
        <v>24</v>
      </c>
      <c r="M24" s="136"/>
    </row>
    <row r="25" spans="1:15" ht="47.25" x14ac:dyDescent="0.25">
      <c r="H25" s="1" t="s">
        <v>17</v>
      </c>
      <c r="I25" s="51" t="s">
        <v>25</v>
      </c>
      <c r="J25" s="52" t="s">
        <v>26</v>
      </c>
      <c r="K25" s="52" t="s">
        <v>27</v>
      </c>
      <c r="L25" s="116" t="s">
        <v>28</v>
      </c>
      <c r="M25" s="53" t="s">
        <v>29</v>
      </c>
    </row>
    <row r="26" spans="1:15" x14ac:dyDescent="0.25">
      <c r="I26" s="54">
        <v>2021</v>
      </c>
      <c r="J26" s="54">
        <v>20</v>
      </c>
      <c r="K26" s="115"/>
      <c r="L26" s="118"/>
      <c r="M26" s="114">
        <v>2021</v>
      </c>
    </row>
    <row r="27" spans="1:15" x14ac:dyDescent="0.25">
      <c r="I27" s="54">
        <v>2022</v>
      </c>
      <c r="J27" s="54"/>
      <c r="K27" s="115">
        <v>20</v>
      </c>
      <c r="L27" s="118"/>
      <c r="M27" s="114">
        <f>M26+1</f>
        <v>2022</v>
      </c>
    </row>
    <row r="28" spans="1:15" x14ac:dyDescent="0.25">
      <c r="I28" s="54">
        <v>2023</v>
      </c>
      <c r="J28" s="54">
        <v>25</v>
      </c>
      <c r="K28" s="115"/>
      <c r="L28" s="118"/>
      <c r="M28" s="114">
        <f t="shared" ref="M28:M35" si="7">M27+1</f>
        <v>2023</v>
      </c>
    </row>
    <row r="29" spans="1:15" x14ac:dyDescent="0.25">
      <c r="I29" s="54">
        <v>2024</v>
      </c>
      <c r="J29" s="54"/>
      <c r="K29" s="115"/>
      <c r="L29" s="118"/>
      <c r="M29" s="114">
        <f t="shared" si="7"/>
        <v>2024</v>
      </c>
      <c r="N29" s="1" t="s">
        <v>30</v>
      </c>
      <c r="O29" s="1" t="s">
        <v>31</v>
      </c>
    </row>
    <row r="30" spans="1:15" x14ac:dyDescent="0.25">
      <c r="I30" s="54">
        <v>2025</v>
      </c>
      <c r="J30" s="54"/>
      <c r="K30" s="115">
        <v>3</v>
      </c>
      <c r="L30" s="118"/>
      <c r="M30" s="114">
        <f t="shared" si="7"/>
        <v>2025</v>
      </c>
      <c r="N30" s="37">
        <f>SUM(L26:L30)</f>
        <v>0</v>
      </c>
      <c r="O30" s="37">
        <f>N30-J36</f>
        <v>-45</v>
      </c>
    </row>
    <row r="31" spans="1:15" x14ac:dyDescent="0.25">
      <c r="I31" s="54">
        <v>2026</v>
      </c>
      <c r="J31" s="54"/>
      <c r="K31" s="115">
        <v>15</v>
      </c>
      <c r="L31" s="118"/>
      <c r="M31" s="114">
        <f t="shared" si="7"/>
        <v>2026</v>
      </c>
    </row>
    <row r="32" spans="1:15" x14ac:dyDescent="0.25">
      <c r="I32" s="54">
        <v>2027</v>
      </c>
      <c r="J32" s="54"/>
      <c r="K32" s="115">
        <v>20</v>
      </c>
      <c r="L32" s="118"/>
      <c r="M32" s="114">
        <f t="shared" si="7"/>
        <v>2027</v>
      </c>
    </row>
    <row r="33" spans="9:16" x14ac:dyDescent="0.25">
      <c r="I33" s="54">
        <v>2028</v>
      </c>
      <c r="J33" s="54"/>
      <c r="K33" s="115"/>
      <c r="L33" s="118"/>
      <c r="M33" s="114">
        <f t="shared" si="7"/>
        <v>2028</v>
      </c>
    </row>
    <row r="34" spans="9:16" x14ac:dyDescent="0.25">
      <c r="I34" s="54">
        <v>2029</v>
      </c>
      <c r="J34" s="54"/>
      <c r="K34" s="115">
        <v>20</v>
      </c>
      <c r="L34" s="118"/>
      <c r="M34" s="114">
        <f t="shared" si="7"/>
        <v>2029</v>
      </c>
      <c r="N34" s="1" t="s">
        <v>31</v>
      </c>
    </row>
    <row r="35" spans="9:16" x14ac:dyDescent="0.25">
      <c r="I35" s="54">
        <v>2030</v>
      </c>
      <c r="J35" s="54"/>
      <c r="K35" s="115"/>
      <c r="L35" s="118"/>
      <c r="M35" s="114">
        <f t="shared" si="7"/>
        <v>2030</v>
      </c>
      <c r="N35" s="37">
        <f>SUM(L31:L35)</f>
        <v>0</v>
      </c>
    </row>
    <row r="36" spans="9:16" x14ac:dyDescent="0.25">
      <c r="I36" s="1" t="s">
        <v>32</v>
      </c>
      <c r="J36" s="1">
        <f>SUM(J26:J35)</f>
        <v>45</v>
      </c>
      <c r="K36" s="1">
        <f>SUM(K26:K35)</f>
        <v>78</v>
      </c>
      <c r="L36" s="37">
        <f>SUM(L26:L35)</f>
        <v>0</v>
      </c>
      <c r="P36" s="1" t="s">
        <v>17</v>
      </c>
    </row>
    <row r="37" spans="9:16" x14ac:dyDescent="0.25">
      <c r="K37" s="1">
        <f>SUM(J36:K36)</f>
        <v>123</v>
      </c>
      <c r="L37" s="1" t="s">
        <v>17</v>
      </c>
      <c r="M37" s="1" t="s">
        <v>17</v>
      </c>
    </row>
    <row r="38" spans="9:16" x14ac:dyDescent="0.25">
      <c r="J38" s="1" t="s">
        <v>17</v>
      </c>
    </row>
  </sheetData>
  <mergeCells count="18">
    <mergeCell ref="J19:N20"/>
    <mergeCell ref="O19:O20"/>
    <mergeCell ref="J24:K24"/>
    <mergeCell ref="L24:M24"/>
    <mergeCell ref="E18:F18"/>
    <mergeCell ref="G18:H18"/>
    <mergeCell ref="A19:A20"/>
    <mergeCell ref="C19:C20"/>
    <mergeCell ref="D19:D20"/>
    <mergeCell ref="E19:F20"/>
    <mergeCell ref="G19:H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3" workbookViewId="0">
      <selection activeCell="O13" sqref="O13"/>
    </sheetView>
  </sheetViews>
  <sheetFormatPr baseColWidth="10" defaultColWidth="10.875" defaultRowHeight="15.75" x14ac:dyDescent="0.25"/>
  <cols>
    <col min="1" max="4" width="10.875" style="1"/>
    <col min="5" max="5" width="4.125" style="1" customWidth="1"/>
    <col min="6" max="6" width="8.5" style="1" customWidth="1"/>
    <col min="7" max="7" width="4.5" style="1" customWidth="1"/>
    <col min="8" max="8" width="7.625" style="1" customWidth="1"/>
    <col min="9" max="9" width="5.625" style="1" customWidth="1"/>
    <col min="10" max="10" width="10.625" style="1" customWidth="1"/>
    <col min="11" max="12" width="10.875" style="1"/>
    <col min="13" max="13" width="10.375" style="1" customWidth="1"/>
    <col min="14" max="14" width="10.875" style="1"/>
    <col min="15" max="15" width="15.5" style="1" customWidth="1"/>
    <col min="16" max="16384" width="10.875" style="1"/>
  </cols>
  <sheetData>
    <row r="1" spans="1:15" ht="21" x14ac:dyDescent="0.25">
      <c r="A1" s="3" t="s">
        <v>36</v>
      </c>
      <c r="B1" s="60">
        <f>20.55%/3</f>
        <v>6.8500000000000005E-2</v>
      </c>
      <c r="C1" s="60"/>
      <c r="F1" s="2"/>
      <c r="I1" s="2"/>
    </row>
    <row r="2" spans="1:15" ht="21.75" thickBot="1" x14ac:dyDescent="0.3">
      <c r="B2" s="151" t="s">
        <v>1</v>
      </c>
      <c r="C2" s="152"/>
      <c r="I2" s="5"/>
    </row>
    <row r="3" spans="1:15" s="11" customFormat="1" ht="17.100000000000001" customHeight="1" x14ac:dyDescent="0.25">
      <c r="A3" s="6" t="s">
        <v>2</v>
      </c>
      <c r="B3" s="7" t="s">
        <v>3</v>
      </c>
      <c r="C3" s="7" t="str">
        <f>A1</f>
        <v>IN2P3</v>
      </c>
      <c r="D3" s="6" t="s">
        <v>4</v>
      </c>
      <c r="E3" s="153" t="s">
        <v>5</v>
      </c>
      <c r="F3" s="154"/>
      <c r="G3" s="153" t="s">
        <v>6</v>
      </c>
      <c r="H3" s="154"/>
      <c r="I3" s="153" t="s">
        <v>7</v>
      </c>
      <c r="J3" s="155"/>
      <c r="K3" s="8" t="s">
        <v>8</v>
      </c>
      <c r="L3" s="9" t="s">
        <v>9</v>
      </c>
      <c r="M3" s="8" t="s">
        <v>10</v>
      </c>
      <c r="N3" s="8" t="s">
        <v>11</v>
      </c>
      <c r="O3" s="55" t="s">
        <v>12</v>
      </c>
    </row>
    <row r="4" spans="1:15" s="11" customFormat="1" x14ac:dyDescent="0.25">
      <c r="A4" s="12"/>
      <c r="B4" s="12"/>
      <c r="C4" s="39">
        <f>B1</f>
        <v>6.8500000000000005E-2</v>
      </c>
      <c r="D4" s="12"/>
      <c r="E4" s="13"/>
      <c r="F4" s="14"/>
      <c r="G4" s="55" t="s">
        <v>13</v>
      </c>
      <c r="H4" s="55" t="s">
        <v>14</v>
      </c>
      <c r="I4" s="8" t="s">
        <v>13</v>
      </c>
      <c r="J4" s="14" t="s">
        <v>38</v>
      </c>
      <c r="K4" s="8"/>
      <c r="L4" s="15"/>
      <c r="M4" s="8"/>
      <c r="N4" s="8"/>
      <c r="O4" s="8"/>
    </row>
    <row r="5" spans="1:15" s="11" customFormat="1" ht="18" customHeight="1" thickBot="1" x14ac:dyDescent="0.3">
      <c r="A5" s="16"/>
      <c r="B5" s="16" t="s">
        <v>15</v>
      </c>
      <c r="C5" s="40" t="s">
        <v>15</v>
      </c>
      <c r="D5" s="16" t="s">
        <v>15</v>
      </c>
      <c r="E5" s="156" t="s">
        <v>16</v>
      </c>
      <c r="F5" s="157"/>
      <c r="G5" s="158" t="s">
        <v>16</v>
      </c>
      <c r="H5" s="159"/>
      <c r="I5" s="160" t="s">
        <v>16</v>
      </c>
      <c r="J5" s="161"/>
      <c r="K5" s="17" t="s">
        <v>16</v>
      </c>
      <c r="L5" s="18" t="s">
        <v>16</v>
      </c>
      <c r="M5" s="18" t="s">
        <v>16</v>
      </c>
      <c r="N5" s="18" t="s">
        <v>16</v>
      </c>
      <c r="O5" s="18" t="s">
        <v>16</v>
      </c>
    </row>
    <row r="6" spans="1:15" s="11" customFormat="1" ht="17.25" thickTop="1" thickBot="1" x14ac:dyDescent="0.3">
      <c r="A6" s="45">
        <v>2021</v>
      </c>
      <c r="B6" s="45">
        <v>2411.1</v>
      </c>
      <c r="C6" s="46">
        <f t="shared" ref="C6:C11" si="0">B6*taux</f>
        <v>165.16034999999999</v>
      </c>
      <c r="D6" s="47"/>
      <c r="E6" s="48">
        <v>0</v>
      </c>
      <c r="F6" s="46"/>
      <c r="G6" s="45">
        <v>1</v>
      </c>
      <c r="H6" s="46">
        <v>110</v>
      </c>
      <c r="I6" s="46">
        <v>20</v>
      </c>
      <c r="J6" s="46">
        <v>40</v>
      </c>
      <c r="K6" s="46"/>
      <c r="L6" s="47"/>
      <c r="M6" s="46"/>
      <c r="N6" s="46"/>
      <c r="O6" s="46">
        <f t="shared" ref="O6" si="1">F6+H6+J6+K6+L6+M6+N6</f>
        <v>150</v>
      </c>
    </row>
    <row r="7" spans="1:15" s="11" customFormat="1" ht="16.5" thickBot="1" x14ac:dyDescent="0.3">
      <c r="A7" s="41">
        <v>2022</v>
      </c>
      <c r="B7" s="41">
        <v>2218</v>
      </c>
      <c r="C7" s="46">
        <f t="shared" si="0"/>
        <v>151.93300000000002</v>
      </c>
      <c r="D7" s="43"/>
      <c r="E7" s="44">
        <v>1</v>
      </c>
      <c r="F7" s="42">
        <v>170</v>
      </c>
      <c r="G7" s="41"/>
      <c r="H7" s="42"/>
      <c r="I7" s="42"/>
      <c r="J7" s="42"/>
      <c r="K7" s="42"/>
      <c r="L7" s="41"/>
      <c r="M7" s="42"/>
      <c r="N7" s="42"/>
      <c r="O7" s="42">
        <f>F7+H7+J7+K7+L7+M7+N7</f>
        <v>170</v>
      </c>
    </row>
    <row r="8" spans="1:15" s="11" customFormat="1" ht="16.5" thickBot="1" x14ac:dyDescent="0.3">
      <c r="A8" s="45">
        <v>2023</v>
      </c>
      <c r="B8" s="45">
        <v>2260.1999999999998</v>
      </c>
      <c r="C8" s="46">
        <f t="shared" si="0"/>
        <v>154.8237</v>
      </c>
      <c r="D8" s="47"/>
      <c r="E8" s="48">
        <v>0</v>
      </c>
      <c r="F8" s="46">
        <f>1378.1/8*E8</f>
        <v>0</v>
      </c>
      <c r="G8" s="45"/>
      <c r="H8" s="46"/>
      <c r="I8" s="46"/>
      <c r="J8" s="46"/>
      <c r="K8" s="46"/>
      <c r="L8" s="47"/>
      <c r="M8" s="46"/>
      <c r="N8" s="46"/>
      <c r="O8" s="46">
        <f>F8+H8+J8+K8+L8+M8+N8</f>
        <v>0</v>
      </c>
    </row>
    <row r="9" spans="1:15" s="11" customFormat="1" ht="16.5" thickBot="1" x14ac:dyDescent="0.3">
      <c r="A9" s="41">
        <v>2024</v>
      </c>
      <c r="B9" s="41">
        <v>2281.4</v>
      </c>
      <c r="C9" s="46">
        <f t="shared" si="0"/>
        <v>156.27590000000001</v>
      </c>
      <c r="D9" s="43"/>
      <c r="E9" s="44">
        <v>0</v>
      </c>
      <c r="F9" s="42">
        <f>1398.7/8*E9</f>
        <v>0</v>
      </c>
      <c r="G9" s="41"/>
      <c r="H9" s="42"/>
      <c r="I9" s="42"/>
      <c r="J9" s="42"/>
      <c r="K9" s="42">
        <v>284</v>
      </c>
      <c r="L9" s="41"/>
      <c r="M9" s="42"/>
      <c r="N9" s="42"/>
      <c r="O9" s="42">
        <f t="shared" ref="O9:O16" si="2">F9+H9+J9+K9+L9+M9+N9</f>
        <v>284</v>
      </c>
    </row>
    <row r="10" spans="1:15" s="11" customFormat="1" ht="16.5" thickBot="1" x14ac:dyDescent="0.3">
      <c r="A10" s="45">
        <v>2025</v>
      </c>
      <c r="B10" s="45">
        <v>1776.3</v>
      </c>
      <c r="C10" s="46">
        <f t="shared" si="0"/>
        <v>121.67655000000001</v>
      </c>
      <c r="D10" s="47"/>
      <c r="E10" s="48">
        <v>1</v>
      </c>
      <c r="F10" s="46">
        <v>184</v>
      </c>
      <c r="G10" s="45"/>
      <c r="H10" s="46"/>
      <c r="I10" s="46"/>
      <c r="J10" s="46"/>
      <c r="K10" s="46"/>
      <c r="L10" s="47"/>
      <c r="M10" s="46"/>
      <c r="N10" s="46"/>
      <c r="O10" s="46">
        <f t="shared" si="2"/>
        <v>184</v>
      </c>
    </row>
    <row r="11" spans="1:15" s="11" customFormat="1" ht="16.5" thickBot="1" x14ac:dyDescent="0.3">
      <c r="A11" s="41">
        <v>2026</v>
      </c>
      <c r="B11" s="41">
        <v>2271.3000000000002</v>
      </c>
      <c r="C11" s="46">
        <f t="shared" si="0"/>
        <v>155.58405000000002</v>
      </c>
      <c r="D11" s="43"/>
      <c r="E11" s="44">
        <v>1</v>
      </c>
      <c r="F11" s="42">
        <v>180</v>
      </c>
      <c r="G11" s="41"/>
      <c r="H11" s="42"/>
      <c r="I11" s="42"/>
      <c r="J11" s="42"/>
      <c r="K11" s="42"/>
      <c r="L11" s="41"/>
      <c r="M11" s="42"/>
      <c r="N11" s="42"/>
      <c r="O11" s="42">
        <f t="shared" si="2"/>
        <v>180</v>
      </c>
    </row>
    <row r="12" spans="1:15" s="11" customFormat="1" ht="16.5" thickBot="1" x14ac:dyDescent="0.3">
      <c r="A12" s="49" t="s">
        <v>80</v>
      </c>
      <c r="B12" s="50">
        <f>SUM(B6:B11)</f>
        <v>13218.3</v>
      </c>
      <c r="C12" s="50">
        <f>SUM(C6:C11)</f>
        <v>905.45355000000006</v>
      </c>
      <c r="D12" s="50">
        <f t="shared" ref="D12:N12" si="3">SUM(D6:D11)</f>
        <v>0</v>
      </c>
      <c r="E12" s="50">
        <f t="shared" si="3"/>
        <v>3</v>
      </c>
      <c r="F12" s="50">
        <f t="shared" si="3"/>
        <v>534</v>
      </c>
      <c r="G12" s="50">
        <f t="shared" si="3"/>
        <v>1</v>
      </c>
      <c r="H12" s="50">
        <f t="shared" si="3"/>
        <v>110</v>
      </c>
      <c r="I12" s="50">
        <f t="shared" si="3"/>
        <v>20</v>
      </c>
      <c r="J12" s="50">
        <f t="shared" si="3"/>
        <v>40</v>
      </c>
      <c r="K12" s="50">
        <f t="shared" si="3"/>
        <v>284</v>
      </c>
      <c r="L12" s="50">
        <f t="shared" si="3"/>
        <v>0</v>
      </c>
      <c r="M12" s="50">
        <f t="shared" si="3"/>
        <v>0</v>
      </c>
      <c r="N12" s="50">
        <f t="shared" si="3"/>
        <v>0</v>
      </c>
      <c r="O12" s="50">
        <f>SUM(O6:O11)</f>
        <v>968</v>
      </c>
    </row>
    <row r="13" spans="1:15" s="11" customFormat="1" ht="16.5" thickBot="1" x14ac:dyDescent="0.3">
      <c r="A13" s="23">
        <v>2027</v>
      </c>
      <c r="B13" s="23">
        <v>2227.9</v>
      </c>
      <c r="C13" s="46">
        <f>B13*taux</f>
        <v>152.61115000000001</v>
      </c>
      <c r="D13" s="24"/>
      <c r="E13" s="25">
        <v>0</v>
      </c>
      <c r="F13" s="26"/>
      <c r="G13" s="23"/>
      <c r="H13" s="26"/>
      <c r="I13" s="26">
        <v>25</v>
      </c>
      <c r="J13" s="26">
        <v>50</v>
      </c>
      <c r="K13" s="26"/>
      <c r="L13" s="24"/>
      <c r="M13" s="26"/>
      <c r="N13" s="26"/>
      <c r="O13" s="20">
        <f t="shared" si="2"/>
        <v>50</v>
      </c>
    </row>
    <row r="14" spans="1:15" s="11" customFormat="1" ht="16.5" thickBot="1" x14ac:dyDescent="0.3">
      <c r="A14" s="19">
        <v>2028</v>
      </c>
      <c r="B14" s="19">
        <v>1970.5</v>
      </c>
      <c r="C14" s="46">
        <f>B14*taux</f>
        <v>134.97925000000001</v>
      </c>
      <c r="D14" s="21"/>
      <c r="E14" s="22">
        <v>1</v>
      </c>
      <c r="F14" s="20">
        <v>186</v>
      </c>
      <c r="G14" s="19"/>
      <c r="H14" s="20"/>
      <c r="I14" s="20"/>
      <c r="J14" s="20"/>
      <c r="K14" s="20">
        <v>48</v>
      </c>
      <c r="L14" s="21"/>
      <c r="M14" s="20"/>
      <c r="N14" s="20"/>
      <c r="O14" s="20">
        <f t="shared" si="2"/>
        <v>234</v>
      </c>
    </row>
    <row r="15" spans="1:15" s="11" customFormat="1" ht="16.5" thickBot="1" x14ac:dyDescent="0.3">
      <c r="A15" s="23">
        <v>2029</v>
      </c>
      <c r="B15" s="23">
        <v>2390.8000000000002</v>
      </c>
      <c r="C15" s="46">
        <f>B15*taux</f>
        <v>163.76980000000003</v>
      </c>
      <c r="D15" s="24"/>
      <c r="E15" s="25">
        <v>0</v>
      </c>
      <c r="F15" s="26"/>
      <c r="G15" s="23"/>
      <c r="H15" s="26"/>
      <c r="I15" s="26"/>
      <c r="J15" s="26"/>
      <c r="K15" s="26">
        <v>56</v>
      </c>
      <c r="L15" s="24"/>
      <c r="M15" s="26"/>
      <c r="N15" s="26"/>
      <c r="O15" s="20">
        <f t="shared" si="2"/>
        <v>56</v>
      </c>
    </row>
    <row r="16" spans="1:15" s="11" customFormat="1" ht="16.5" thickBot="1" x14ac:dyDescent="0.3">
      <c r="A16" s="19">
        <v>2030</v>
      </c>
      <c r="B16" s="19">
        <v>2087.8000000000002</v>
      </c>
      <c r="C16" s="46">
        <f>B16*taux</f>
        <v>143.01430000000002</v>
      </c>
      <c r="D16" s="21"/>
      <c r="E16" s="22">
        <v>1</v>
      </c>
      <c r="F16" s="20">
        <v>191</v>
      </c>
      <c r="G16" s="19"/>
      <c r="H16" s="20"/>
      <c r="I16" s="20"/>
      <c r="J16" s="27"/>
      <c r="K16" s="27"/>
      <c r="L16" s="19"/>
      <c r="M16" s="27"/>
      <c r="N16" s="27"/>
      <c r="O16" s="20">
        <f t="shared" si="2"/>
        <v>191</v>
      </c>
    </row>
    <row r="17" spans="1:15" s="11" customFormat="1" ht="16.5" thickBot="1" x14ac:dyDescent="0.3">
      <c r="A17" s="49" t="s">
        <v>78</v>
      </c>
      <c r="B17" s="49">
        <f t="shared" ref="B17:O17" si="4">SUM(B12:B16)</f>
        <v>21895.299999999996</v>
      </c>
      <c r="C17" s="50">
        <f t="shared" si="4"/>
        <v>1499.8280500000003</v>
      </c>
      <c r="D17" s="50">
        <f t="shared" si="4"/>
        <v>0</v>
      </c>
      <c r="E17" s="50">
        <f t="shared" si="4"/>
        <v>5</v>
      </c>
      <c r="F17" s="50">
        <f t="shared" si="4"/>
        <v>911</v>
      </c>
      <c r="G17" s="50">
        <f t="shared" si="4"/>
        <v>1</v>
      </c>
      <c r="H17" s="50">
        <f t="shared" si="4"/>
        <v>110</v>
      </c>
      <c r="I17" s="50">
        <f t="shared" si="4"/>
        <v>45</v>
      </c>
      <c r="J17" s="50">
        <f t="shared" si="4"/>
        <v>90</v>
      </c>
      <c r="K17" s="50">
        <f t="shared" si="4"/>
        <v>388</v>
      </c>
      <c r="L17" s="50">
        <f t="shared" si="4"/>
        <v>0</v>
      </c>
      <c r="M17" s="50">
        <f t="shared" si="4"/>
        <v>0</v>
      </c>
      <c r="N17" s="50">
        <f t="shared" si="4"/>
        <v>0</v>
      </c>
      <c r="O17" s="50">
        <f t="shared" si="4"/>
        <v>1499</v>
      </c>
    </row>
    <row r="18" spans="1:15" s="11" customFormat="1" ht="18" customHeight="1" thickBot="1" x14ac:dyDescent="0.3">
      <c r="A18" s="24"/>
      <c r="B18" s="24"/>
      <c r="C18" s="24" t="s">
        <v>17</v>
      </c>
      <c r="D18" s="24"/>
      <c r="E18" s="137" t="s">
        <v>40</v>
      </c>
      <c r="F18" s="138"/>
      <c r="G18" s="139" t="s">
        <v>41</v>
      </c>
      <c r="H18" s="140"/>
      <c r="I18" s="28"/>
      <c r="J18" s="23"/>
      <c r="K18" s="23"/>
      <c r="L18" s="24"/>
      <c r="M18" s="23"/>
      <c r="N18" s="23"/>
      <c r="O18" s="29"/>
    </row>
    <row r="19" spans="1:15" s="11" customFormat="1" ht="15.95" customHeight="1" x14ac:dyDescent="0.25">
      <c r="A19" s="141"/>
      <c r="B19" s="56"/>
      <c r="C19" s="143" t="s">
        <v>20</v>
      </c>
      <c r="D19" s="141"/>
      <c r="E19" s="145">
        <f>F17/O17</f>
        <v>0.60773849232821886</v>
      </c>
      <c r="F19" s="127"/>
      <c r="G19" s="147">
        <f>H17/O17</f>
        <v>7.3382254836557706E-2</v>
      </c>
      <c r="H19" s="148"/>
      <c r="I19" s="58"/>
      <c r="J19" s="125">
        <f>(J17+L17)/O17</f>
        <v>6.0040026684456307E-2</v>
      </c>
      <c r="K19" s="126"/>
      <c r="L19" s="126"/>
      <c r="M19" s="126"/>
      <c r="N19" s="127"/>
      <c r="O19" s="131">
        <f>O17/C17</f>
        <v>0.99944790337799039</v>
      </c>
    </row>
    <row r="20" spans="1:15" s="11" customFormat="1" ht="16.5" thickBot="1" x14ac:dyDescent="0.3">
      <c r="A20" s="142"/>
      <c r="B20" s="57"/>
      <c r="C20" s="144"/>
      <c r="D20" s="142"/>
      <c r="E20" s="146"/>
      <c r="F20" s="130"/>
      <c r="G20" s="149"/>
      <c r="H20" s="150"/>
      <c r="I20" s="59"/>
      <c r="J20" s="128"/>
      <c r="K20" s="129"/>
      <c r="L20" s="129"/>
      <c r="M20" s="129"/>
      <c r="N20" s="130"/>
      <c r="O20" s="132"/>
    </row>
    <row r="21" spans="1:15" x14ac:dyDescent="0.25">
      <c r="O21" s="34">
        <f>SUM(E19+G19+J19)</f>
        <v>0.74116077384923285</v>
      </c>
    </row>
    <row r="22" spans="1:15" x14ac:dyDescent="0.25">
      <c r="B22" s="35" t="s">
        <v>21</v>
      </c>
      <c r="C22" s="36">
        <f>26*B1</f>
        <v>1.7810000000000001</v>
      </c>
      <c r="J22" s="37"/>
      <c r="K22" s="37"/>
      <c r="M22" s="37"/>
      <c r="N22" s="37"/>
      <c r="O22" s="37">
        <f>O17-C17</f>
        <v>-0.82805000000030304</v>
      </c>
    </row>
    <row r="23" spans="1:15" x14ac:dyDescent="0.25">
      <c r="B23" s="35"/>
      <c r="C23" s="36" t="s">
        <v>37</v>
      </c>
      <c r="D23" s="38"/>
      <c r="F23" s="1" t="s">
        <v>17</v>
      </c>
      <c r="K23" s="1" t="s">
        <v>17</v>
      </c>
    </row>
    <row r="24" spans="1:15" ht="15.95" customHeight="1" x14ac:dyDescent="0.25">
      <c r="C24" s="38"/>
      <c r="D24" s="38"/>
      <c r="J24" s="133" t="s">
        <v>23</v>
      </c>
      <c r="K24" s="134"/>
      <c r="L24" s="135" t="s">
        <v>24</v>
      </c>
      <c r="M24" s="136"/>
    </row>
    <row r="25" spans="1:15" ht="47.25" x14ac:dyDescent="0.25">
      <c r="H25" s="1" t="s">
        <v>17</v>
      </c>
      <c r="I25" s="51" t="s">
        <v>25</v>
      </c>
      <c r="J25" s="52" t="s">
        <v>26</v>
      </c>
      <c r="K25" s="52" t="s">
        <v>27</v>
      </c>
      <c r="L25" s="116" t="s">
        <v>28</v>
      </c>
      <c r="M25" s="53" t="s">
        <v>29</v>
      </c>
    </row>
    <row r="26" spans="1:15" x14ac:dyDescent="0.25">
      <c r="I26" s="54">
        <v>2021</v>
      </c>
      <c r="J26" s="54">
        <v>20</v>
      </c>
      <c r="K26" s="115"/>
      <c r="L26" s="118">
        <f>I6</f>
        <v>20</v>
      </c>
      <c r="M26" s="114">
        <v>2021</v>
      </c>
    </row>
    <row r="27" spans="1:15" x14ac:dyDescent="0.25">
      <c r="I27" s="54">
        <v>2022</v>
      </c>
      <c r="J27" s="54"/>
      <c r="K27" s="115">
        <v>20</v>
      </c>
      <c r="L27" s="118">
        <f t="shared" ref="L27:L31" si="5">I7</f>
        <v>0</v>
      </c>
      <c r="M27" s="114">
        <f>M26+1</f>
        <v>2022</v>
      </c>
    </row>
    <row r="28" spans="1:15" x14ac:dyDescent="0.25">
      <c r="I28" s="54">
        <v>2023</v>
      </c>
      <c r="J28" s="54">
        <v>25</v>
      </c>
      <c r="K28" s="115"/>
      <c r="L28" s="118">
        <f t="shared" si="5"/>
        <v>0</v>
      </c>
      <c r="M28" s="114">
        <f t="shared" ref="M28:M35" si="6">M27+1</f>
        <v>2023</v>
      </c>
    </row>
    <row r="29" spans="1:15" x14ac:dyDescent="0.25">
      <c r="I29" s="54">
        <v>2024</v>
      </c>
      <c r="J29" s="54"/>
      <c r="K29" s="115"/>
      <c r="L29" s="118">
        <f t="shared" si="5"/>
        <v>0</v>
      </c>
      <c r="M29" s="114">
        <f t="shared" si="6"/>
        <v>2024</v>
      </c>
      <c r="N29" s="1" t="s">
        <v>30</v>
      </c>
      <c r="O29" s="1" t="s">
        <v>31</v>
      </c>
    </row>
    <row r="30" spans="1:15" x14ac:dyDescent="0.25">
      <c r="I30" s="54">
        <v>2025</v>
      </c>
      <c r="J30" s="54"/>
      <c r="K30" s="115">
        <v>3</v>
      </c>
      <c r="L30" s="118">
        <f t="shared" si="5"/>
        <v>0</v>
      </c>
      <c r="M30" s="114">
        <f t="shared" si="6"/>
        <v>2025</v>
      </c>
      <c r="N30" s="37">
        <f>SUM(L26:L30)</f>
        <v>20</v>
      </c>
      <c r="O30" s="37">
        <f>N30-J36</f>
        <v>-25</v>
      </c>
    </row>
    <row r="31" spans="1:15" x14ac:dyDescent="0.25">
      <c r="I31" s="54">
        <v>2026</v>
      </c>
      <c r="J31" s="54"/>
      <c r="K31" s="115">
        <v>15</v>
      </c>
      <c r="L31" s="118">
        <f t="shared" si="5"/>
        <v>0</v>
      </c>
      <c r="M31" s="114">
        <f t="shared" si="6"/>
        <v>2026</v>
      </c>
    </row>
    <row r="32" spans="1:15" x14ac:dyDescent="0.25">
      <c r="I32" s="54">
        <v>2027</v>
      </c>
      <c r="J32" s="54"/>
      <c r="K32" s="115">
        <v>20</v>
      </c>
      <c r="L32" s="118">
        <f>I13</f>
        <v>25</v>
      </c>
      <c r="M32" s="114">
        <f t="shared" si="6"/>
        <v>2027</v>
      </c>
    </row>
    <row r="33" spans="9:16" x14ac:dyDescent="0.25">
      <c r="I33" s="54">
        <v>2028</v>
      </c>
      <c r="J33" s="54"/>
      <c r="K33" s="115"/>
      <c r="L33" s="118">
        <f t="shared" ref="L33:L35" si="7">I14</f>
        <v>0</v>
      </c>
      <c r="M33" s="114">
        <f t="shared" si="6"/>
        <v>2028</v>
      </c>
    </row>
    <row r="34" spans="9:16" x14ac:dyDescent="0.25">
      <c r="I34" s="54">
        <v>2029</v>
      </c>
      <c r="J34" s="54"/>
      <c r="K34" s="115">
        <v>20</v>
      </c>
      <c r="L34" s="118">
        <f t="shared" si="7"/>
        <v>0</v>
      </c>
      <c r="M34" s="114">
        <f t="shared" si="6"/>
        <v>2029</v>
      </c>
      <c r="N34" s="1" t="s">
        <v>31</v>
      </c>
    </row>
    <row r="35" spans="9:16" x14ac:dyDescent="0.25">
      <c r="I35" s="54">
        <v>2030</v>
      </c>
      <c r="J35" s="54"/>
      <c r="K35" s="115"/>
      <c r="L35" s="118">
        <f t="shared" si="7"/>
        <v>0</v>
      </c>
      <c r="M35" s="114">
        <f t="shared" si="6"/>
        <v>2030</v>
      </c>
      <c r="N35" s="37">
        <f>SUM(L31:L35)</f>
        <v>25</v>
      </c>
    </row>
    <row r="36" spans="9:16" x14ac:dyDescent="0.25">
      <c r="I36" s="1" t="s">
        <v>32</v>
      </c>
      <c r="J36" s="1">
        <f>SUM(J26:J35)</f>
        <v>45</v>
      </c>
      <c r="K36" s="1">
        <f>SUM(K26:K35)</f>
        <v>78</v>
      </c>
      <c r="L36" s="37">
        <f>SUM(L26:L35)</f>
        <v>45</v>
      </c>
      <c r="P36" s="1" t="s">
        <v>17</v>
      </c>
    </row>
    <row r="37" spans="9:16" x14ac:dyDescent="0.25">
      <c r="K37" s="1">
        <f>SUM(J36:K36)</f>
        <v>123</v>
      </c>
      <c r="L37" s="1" t="s">
        <v>17</v>
      </c>
      <c r="M37" s="1" t="s">
        <v>17</v>
      </c>
    </row>
    <row r="38" spans="9:16" x14ac:dyDescent="0.25">
      <c r="J38" s="1" t="s">
        <v>17</v>
      </c>
    </row>
  </sheetData>
  <mergeCells count="18">
    <mergeCell ref="J19:N20"/>
    <mergeCell ref="O19:O20"/>
    <mergeCell ref="J24:K24"/>
    <mergeCell ref="L24:M24"/>
    <mergeCell ref="E18:F18"/>
    <mergeCell ref="G18:H18"/>
    <mergeCell ref="A19:A20"/>
    <mergeCell ref="C19:C20"/>
    <mergeCell ref="D19:D20"/>
    <mergeCell ref="E19:F20"/>
    <mergeCell ref="G19:H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B13" sqref="B13"/>
    </sheetView>
  </sheetViews>
  <sheetFormatPr baseColWidth="10" defaultColWidth="10.875" defaultRowHeight="15.75" x14ac:dyDescent="0.25"/>
  <cols>
    <col min="1" max="4" width="10.875" style="1"/>
    <col min="5" max="5" width="4.125" style="1" customWidth="1"/>
    <col min="6" max="6" width="8.5" style="1" customWidth="1"/>
    <col min="7" max="7" width="4.5" style="1" customWidth="1"/>
    <col min="8" max="8" width="7.625" style="1" customWidth="1"/>
    <col min="9" max="9" width="5.625" style="1" customWidth="1"/>
    <col min="10" max="10" width="10.625" style="1" customWidth="1"/>
    <col min="11" max="12" width="10.875" style="1"/>
    <col min="13" max="13" width="10.375" style="1" customWidth="1"/>
    <col min="14" max="14" width="10.875" style="1"/>
    <col min="15" max="15" width="15.5" style="1" customWidth="1"/>
    <col min="16" max="16384" width="10.875" style="1"/>
  </cols>
  <sheetData>
    <row r="1" spans="1:15" ht="21" x14ac:dyDescent="0.25">
      <c r="A1" s="3" t="s">
        <v>42</v>
      </c>
      <c r="B1" s="4">
        <f>20.55%/6</f>
        <v>3.4250000000000003E-2</v>
      </c>
      <c r="F1" s="2"/>
      <c r="I1" s="2"/>
    </row>
    <row r="2" spans="1:15" ht="21.75" thickBot="1" x14ac:dyDescent="0.3">
      <c r="B2" s="151" t="s">
        <v>1</v>
      </c>
      <c r="C2" s="152"/>
      <c r="I2" s="5"/>
    </row>
    <row r="3" spans="1:15" s="11" customFormat="1" ht="17.100000000000001" customHeight="1" x14ac:dyDescent="0.25">
      <c r="A3" s="6" t="s">
        <v>2</v>
      </c>
      <c r="B3" s="7" t="s">
        <v>3</v>
      </c>
      <c r="C3" s="7" t="str">
        <f>A1</f>
        <v>IRFU</v>
      </c>
      <c r="D3" s="6" t="s">
        <v>4</v>
      </c>
      <c r="E3" s="153" t="s">
        <v>5</v>
      </c>
      <c r="F3" s="154"/>
      <c r="G3" s="153" t="s">
        <v>6</v>
      </c>
      <c r="H3" s="154"/>
      <c r="I3" s="153" t="s">
        <v>7</v>
      </c>
      <c r="J3" s="155"/>
      <c r="K3" s="8" t="s">
        <v>8</v>
      </c>
      <c r="L3" s="9" t="s">
        <v>9</v>
      </c>
      <c r="M3" s="8" t="s">
        <v>10</v>
      </c>
      <c r="N3" s="8" t="s">
        <v>11</v>
      </c>
      <c r="O3" s="55" t="s">
        <v>12</v>
      </c>
    </row>
    <row r="4" spans="1:15" s="11" customFormat="1" x14ac:dyDescent="0.25">
      <c r="A4" s="12"/>
      <c r="B4" s="12"/>
      <c r="C4" s="39">
        <f>B1</f>
        <v>3.4250000000000003E-2</v>
      </c>
      <c r="D4" s="12"/>
      <c r="E4" s="13"/>
      <c r="F4" s="14"/>
      <c r="G4" s="55" t="s">
        <v>13</v>
      </c>
      <c r="H4" s="55" t="s">
        <v>14</v>
      </c>
      <c r="I4" s="8" t="s">
        <v>13</v>
      </c>
      <c r="J4" s="14"/>
      <c r="K4" s="8"/>
      <c r="L4" s="15"/>
      <c r="M4" s="8"/>
      <c r="N4" s="8"/>
      <c r="O4" s="8"/>
    </row>
    <row r="5" spans="1:15" s="11" customFormat="1" ht="18" customHeight="1" thickBot="1" x14ac:dyDescent="0.3">
      <c r="A5" s="16"/>
      <c r="B5" s="16" t="s">
        <v>15</v>
      </c>
      <c r="C5" s="40" t="s">
        <v>15</v>
      </c>
      <c r="D5" s="16" t="s">
        <v>15</v>
      </c>
      <c r="E5" s="156" t="s">
        <v>16</v>
      </c>
      <c r="F5" s="157"/>
      <c r="G5" s="158" t="s">
        <v>16</v>
      </c>
      <c r="H5" s="159"/>
      <c r="I5" s="160" t="s">
        <v>16</v>
      </c>
      <c r="J5" s="161"/>
      <c r="K5" s="17" t="s">
        <v>16</v>
      </c>
      <c r="L5" s="18" t="s">
        <v>16</v>
      </c>
      <c r="M5" s="18" t="s">
        <v>16</v>
      </c>
      <c r="N5" s="18" t="s">
        <v>16</v>
      </c>
      <c r="O5" s="18" t="s">
        <v>16</v>
      </c>
    </row>
    <row r="6" spans="1:15" s="11" customFormat="1" ht="17.25" thickTop="1" thickBot="1" x14ac:dyDescent="0.3">
      <c r="A6" s="45">
        <v>2021</v>
      </c>
      <c r="B6" s="41">
        <v>2411.1</v>
      </c>
      <c r="C6" s="46">
        <f t="shared" ref="C6" si="0">B6*$C$4</f>
        <v>82.580174999999997</v>
      </c>
      <c r="D6" s="47"/>
      <c r="E6" s="48"/>
      <c r="F6" s="46"/>
      <c r="G6" s="45"/>
      <c r="H6" s="46"/>
      <c r="I6" s="46"/>
      <c r="J6" s="46"/>
      <c r="K6" s="46"/>
      <c r="L6" s="47"/>
      <c r="M6" s="46"/>
      <c r="N6" s="46"/>
      <c r="O6" s="46">
        <f t="shared" ref="O6" si="1">F6+H6+J6+K6+L6+M6+N6</f>
        <v>0</v>
      </c>
    </row>
    <row r="7" spans="1:15" s="11" customFormat="1" ht="16.5" thickBot="1" x14ac:dyDescent="0.3">
      <c r="A7" s="41">
        <v>2022</v>
      </c>
      <c r="B7" s="45">
        <v>2218</v>
      </c>
      <c r="C7" s="42">
        <f>B7*$C$4</f>
        <v>75.966500000000011</v>
      </c>
      <c r="D7" s="43"/>
      <c r="E7" s="44"/>
      <c r="F7" s="42"/>
      <c r="G7" s="41"/>
      <c r="H7" s="42"/>
      <c r="I7" s="42"/>
      <c r="J7" s="42"/>
      <c r="K7" s="42"/>
      <c r="L7" s="41"/>
      <c r="M7" s="42"/>
      <c r="N7" s="42"/>
      <c r="O7" s="42">
        <f>F7+H7+J7+K7+L7+M7+N7</f>
        <v>0</v>
      </c>
    </row>
    <row r="8" spans="1:15" s="11" customFormat="1" ht="16.5" thickBot="1" x14ac:dyDescent="0.3">
      <c r="A8" s="45">
        <v>2023</v>
      </c>
      <c r="B8" s="41">
        <v>2260.1</v>
      </c>
      <c r="C8" s="46">
        <f t="shared" ref="C8:C16" si="2">B8*$C$4</f>
        <v>77.408425000000008</v>
      </c>
      <c r="D8" s="47"/>
      <c r="E8" s="48">
        <v>1</v>
      </c>
      <c r="F8" s="46">
        <v>179</v>
      </c>
      <c r="G8" s="45"/>
      <c r="H8" s="46"/>
      <c r="I8" s="46"/>
      <c r="J8" s="46"/>
      <c r="K8" s="46"/>
      <c r="L8" s="47"/>
      <c r="M8" s="46"/>
      <c r="N8" s="46"/>
      <c r="O8" s="46">
        <f t="shared" ref="O8:O16" si="3">F8+H8+J8+K8+L8+M8+N8</f>
        <v>179</v>
      </c>
    </row>
    <row r="9" spans="1:15" s="11" customFormat="1" ht="16.5" thickBot="1" x14ac:dyDescent="0.3">
      <c r="A9" s="41">
        <v>2024</v>
      </c>
      <c r="B9" s="45">
        <v>2281.5</v>
      </c>
      <c r="C9" s="42">
        <f t="shared" si="2"/>
        <v>78.141375000000011</v>
      </c>
      <c r="D9" s="43"/>
      <c r="E9" s="44"/>
      <c r="F9" s="42"/>
      <c r="G9" s="41"/>
      <c r="H9" s="42"/>
      <c r="I9" s="42"/>
      <c r="J9" s="42"/>
      <c r="K9" s="42"/>
      <c r="L9" s="41">
        <v>80</v>
      </c>
      <c r="M9" s="42"/>
      <c r="N9" s="42"/>
      <c r="O9" s="42">
        <f t="shared" si="3"/>
        <v>80</v>
      </c>
    </row>
    <row r="10" spans="1:15" s="11" customFormat="1" ht="16.5" thickBot="1" x14ac:dyDescent="0.3">
      <c r="A10" s="45">
        <v>2025</v>
      </c>
      <c r="B10" s="41">
        <v>1776.4</v>
      </c>
      <c r="C10" s="46">
        <f t="shared" si="2"/>
        <v>60.84170000000001</v>
      </c>
      <c r="D10" s="47"/>
      <c r="E10" s="48"/>
      <c r="F10" s="46"/>
      <c r="G10" s="45">
        <v>1</v>
      </c>
      <c r="H10" s="46">
        <v>116.3</v>
      </c>
      <c r="I10" s="46"/>
      <c r="J10" s="46"/>
      <c r="K10" s="46"/>
      <c r="L10" s="47"/>
      <c r="M10" s="46"/>
      <c r="N10" s="46"/>
      <c r="O10" s="46">
        <f t="shared" si="3"/>
        <v>116.3</v>
      </c>
    </row>
    <row r="11" spans="1:15" s="11" customFormat="1" ht="16.5" thickBot="1" x14ac:dyDescent="0.3">
      <c r="A11" s="41">
        <v>2026</v>
      </c>
      <c r="B11" s="45">
        <v>2271.1999999999998</v>
      </c>
      <c r="C11" s="42">
        <f>B11*$C$4</f>
        <v>77.788600000000002</v>
      </c>
      <c r="D11" s="43"/>
      <c r="E11" s="44">
        <v>1</v>
      </c>
      <c r="F11" s="42">
        <v>180</v>
      </c>
      <c r="G11" s="41"/>
      <c r="H11" s="42"/>
      <c r="I11" s="42"/>
      <c r="J11" s="42"/>
      <c r="K11" s="42"/>
      <c r="L11" s="41"/>
      <c r="M11" s="42"/>
      <c r="N11" s="42"/>
      <c r="O11" s="42">
        <f>F11+H11+J11+K11+L11+M11+N11</f>
        <v>180</v>
      </c>
    </row>
    <row r="12" spans="1:15" s="11" customFormat="1" ht="16.5" thickBot="1" x14ac:dyDescent="0.3">
      <c r="A12" s="49" t="s">
        <v>79</v>
      </c>
      <c r="B12" s="49">
        <f>SUM(B6:B11)</f>
        <v>13218.3</v>
      </c>
      <c r="C12" s="50">
        <f t="shared" ref="C12:F12" si="4">SUM(C6:C11)</f>
        <v>452.72677500000009</v>
      </c>
      <c r="D12" s="50">
        <f t="shared" si="4"/>
        <v>0</v>
      </c>
      <c r="E12" s="50">
        <f t="shared" si="4"/>
        <v>2</v>
      </c>
      <c r="F12" s="50">
        <f t="shared" si="4"/>
        <v>359</v>
      </c>
      <c r="G12" s="50">
        <f t="shared" ref="G12:N12" si="5">SUM(G7:G11)</f>
        <v>1</v>
      </c>
      <c r="H12" s="50">
        <f t="shared" si="5"/>
        <v>116.3</v>
      </c>
      <c r="I12" s="50">
        <f t="shared" si="5"/>
        <v>0</v>
      </c>
      <c r="J12" s="50">
        <f t="shared" si="5"/>
        <v>0</v>
      </c>
      <c r="K12" s="50">
        <f t="shared" si="5"/>
        <v>0</v>
      </c>
      <c r="L12" s="50">
        <f t="shared" si="5"/>
        <v>80</v>
      </c>
      <c r="M12" s="50">
        <f t="shared" si="5"/>
        <v>0</v>
      </c>
      <c r="N12" s="50">
        <f t="shared" si="5"/>
        <v>0</v>
      </c>
      <c r="O12" s="50">
        <f>SUM(O6:O11)</f>
        <v>555.29999999999995</v>
      </c>
    </row>
    <row r="13" spans="1:15" s="11" customFormat="1" ht="16.5" thickBot="1" x14ac:dyDescent="0.3">
      <c r="A13" s="23">
        <v>2027</v>
      </c>
      <c r="B13" s="19">
        <v>2227.9</v>
      </c>
      <c r="C13" s="20">
        <f t="shared" si="2"/>
        <v>76.305575000000005</v>
      </c>
      <c r="D13" s="24"/>
      <c r="E13" s="25"/>
      <c r="F13" s="26"/>
      <c r="G13" s="23"/>
      <c r="H13" s="26"/>
      <c r="I13" s="26"/>
      <c r="J13" s="26"/>
      <c r="K13" s="26"/>
      <c r="L13" s="24"/>
      <c r="M13" s="26"/>
      <c r="N13" s="26"/>
      <c r="O13" s="20">
        <f t="shared" si="3"/>
        <v>0</v>
      </c>
    </row>
    <row r="14" spans="1:15" s="11" customFormat="1" ht="16.5" thickBot="1" x14ac:dyDescent="0.3">
      <c r="A14" s="19">
        <v>2028</v>
      </c>
      <c r="B14" s="23">
        <v>1970.5</v>
      </c>
      <c r="C14" s="20">
        <f t="shared" si="2"/>
        <v>67.489625000000004</v>
      </c>
      <c r="D14" s="21"/>
      <c r="E14" s="22"/>
      <c r="F14" s="20"/>
      <c r="G14" s="19"/>
      <c r="H14" s="20"/>
      <c r="I14" s="20"/>
      <c r="J14" s="20"/>
      <c r="K14" s="20"/>
      <c r="L14" s="21"/>
      <c r="M14" s="20"/>
      <c r="N14" s="20"/>
      <c r="O14" s="20">
        <f t="shared" si="3"/>
        <v>0</v>
      </c>
    </row>
    <row r="15" spans="1:15" s="11" customFormat="1" ht="16.5" thickBot="1" x14ac:dyDescent="0.3">
      <c r="A15" s="23">
        <v>2029</v>
      </c>
      <c r="B15" s="19">
        <v>2390.8000000000002</v>
      </c>
      <c r="C15" s="20">
        <f t="shared" si="2"/>
        <v>81.884900000000016</v>
      </c>
      <c r="D15" s="24"/>
      <c r="E15" s="25">
        <v>1</v>
      </c>
      <c r="F15" s="113">
        <v>195</v>
      </c>
      <c r="G15" s="23"/>
      <c r="H15" s="26"/>
      <c r="I15" s="26"/>
      <c r="J15" s="26"/>
      <c r="K15" s="26"/>
      <c r="L15" s="24"/>
      <c r="M15" s="26"/>
      <c r="N15" s="26"/>
      <c r="O15" s="20">
        <f t="shared" si="3"/>
        <v>195</v>
      </c>
    </row>
    <row r="16" spans="1:15" s="11" customFormat="1" ht="16.5" thickBot="1" x14ac:dyDescent="0.3">
      <c r="A16" s="19">
        <v>2030</v>
      </c>
      <c r="B16" s="23">
        <v>2087.6999999999998</v>
      </c>
      <c r="C16" s="20">
        <f t="shared" si="2"/>
        <v>71.503725000000003</v>
      </c>
      <c r="D16" s="21"/>
      <c r="E16" s="22"/>
      <c r="F16" s="20"/>
      <c r="G16" s="19"/>
      <c r="H16" s="20"/>
      <c r="I16" s="20"/>
      <c r="J16" s="27"/>
      <c r="K16" s="27"/>
      <c r="L16" s="19"/>
      <c r="M16" s="27"/>
      <c r="N16" s="27"/>
      <c r="O16" s="20">
        <f t="shared" si="3"/>
        <v>0</v>
      </c>
    </row>
    <row r="17" spans="1:15" s="11" customFormat="1" ht="16.5" thickBot="1" x14ac:dyDescent="0.3">
      <c r="A17" s="49" t="s">
        <v>78</v>
      </c>
      <c r="B17" s="49">
        <f t="shared" ref="B17:O17" si="6">SUM(B12:B16)</f>
        <v>21895.199999999997</v>
      </c>
      <c r="C17" s="50">
        <f t="shared" si="6"/>
        <v>749.91060000000016</v>
      </c>
      <c r="D17" s="50">
        <f t="shared" si="6"/>
        <v>0</v>
      </c>
      <c r="E17" s="50">
        <f t="shared" si="6"/>
        <v>3</v>
      </c>
      <c r="F17" s="50">
        <f t="shared" si="6"/>
        <v>554</v>
      </c>
      <c r="G17" s="50">
        <f t="shared" si="6"/>
        <v>1</v>
      </c>
      <c r="H17" s="50">
        <f t="shared" si="6"/>
        <v>116.3</v>
      </c>
      <c r="I17" s="50">
        <f t="shared" si="6"/>
        <v>0</v>
      </c>
      <c r="J17" s="50">
        <f t="shared" si="6"/>
        <v>0</v>
      </c>
      <c r="K17" s="50">
        <f t="shared" si="6"/>
        <v>0</v>
      </c>
      <c r="L17" s="50">
        <f t="shared" si="6"/>
        <v>80</v>
      </c>
      <c r="M17" s="50">
        <f t="shared" si="6"/>
        <v>0</v>
      </c>
      <c r="N17" s="50">
        <f t="shared" si="6"/>
        <v>0</v>
      </c>
      <c r="O17" s="50">
        <f t="shared" si="6"/>
        <v>750.3</v>
      </c>
    </row>
    <row r="18" spans="1:15" s="11" customFormat="1" ht="18" customHeight="1" thickBot="1" x14ac:dyDescent="0.3">
      <c r="A18" s="24"/>
      <c r="B18" s="24"/>
      <c r="C18" s="24" t="s">
        <v>17</v>
      </c>
      <c r="D18" s="24"/>
      <c r="E18" s="137" t="s">
        <v>43</v>
      </c>
      <c r="F18" s="138"/>
      <c r="G18" s="139" t="s">
        <v>41</v>
      </c>
      <c r="H18" s="140"/>
      <c r="I18" s="28"/>
      <c r="J18" s="23"/>
      <c r="K18" s="23"/>
      <c r="L18" s="24"/>
      <c r="M18" s="23"/>
      <c r="N18" s="23"/>
      <c r="O18" s="29"/>
    </row>
    <row r="19" spans="1:15" s="11" customFormat="1" ht="15.95" customHeight="1" x14ac:dyDescent="0.25">
      <c r="A19" s="141"/>
      <c r="B19" s="56"/>
      <c r="C19" s="143" t="s">
        <v>20</v>
      </c>
      <c r="D19" s="141"/>
      <c r="E19" s="145">
        <f>F17/O17</f>
        <v>0.73837131813941093</v>
      </c>
      <c r="F19" s="127"/>
      <c r="G19" s="147">
        <f>H17/O17</f>
        <v>0.15500466480074637</v>
      </c>
      <c r="H19" s="148"/>
      <c r="I19" s="58"/>
      <c r="J19" s="125">
        <f>(J17+L17)/O17</f>
        <v>0.10662401705984273</v>
      </c>
      <c r="K19" s="126"/>
      <c r="L19" s="126"/>
      <c r="M19" s="126"/>
      <c r="N19" s="127"/>
      <c r="O19" s="131">
        <f>O17/C17</f>
        <v>1.0005192618960177</v>
      </c>
    </row>
    <row r="20" spans="1:15" s="11" customFormat="1" ht="16.5" thickBot="1" x14ac:dyDescent="0.3">
      <c r="A20" s="142"/>
      <c r="B20" s="57"/>
      <c r="C20" s="144"/>
      <c r="D20" s="142"/>
      <c r="E20" s="146"/>
      <c r="F20" s="130"/>
      <c r="G20" s="149"/>
      <c r="H20" s="150"/>
      <c r="I20" s="59"/>
      <c r="J20" s="128"/>
      <c r="K20" s="129"/>
      <c r="L20" s="129"/>
      <c r="M20" s="129"/>
      <c r="N20" s="130"/>
      <c r="O20" s="132"/>
    </row>
    <row r="21" spans="1:15" x14ac:dyDescent="0.25">
      <c r="F21" s="1" t="s">
        <v>17</v>
      </c>
      <c r="O21" s="34">
        <f>SUM(E19+G19+J19)</f>
        <v>1</v>
      </c>
    </row>
    <row r="22" spans="1:15" x14ac:dyDescent="0.25">
      <c r="B22" s="35" t="s">
        <v>21</v>
      </c>
      <c r="C22" s="36">
        <f>26*B1</f>
        <v>0.89050000000000007</v>
      </c>
      <c r="J22" s="37"/>
      <c r="K22" s="37"/>
      <c r="M22" s="37"/>
      <c r="N22" s="37"/>
      <c r="O22" s="37">
        <f>O17-C17</f>
        <v>0.38939999999979591</v>
      </c>
    </row>
    <row r="23" spans="1:15" x14ac:dyDescent="0.25">
      <c r="B23" s="35"/>
      <c r="C23" s="36" t="s">
        <v>41</v>
      </c>
      <c r="D23" s="38"/>
      <c r="F23" s="1" t="s">
        <v>17</v>
      </c>
      <c r="K23" s="1" t="s">
        <v>17</v>
      </c>
    </row>
    <row r="24" spans="1:15" ht="15.95" customHeight="1" x14ac:dyDescent="0.25">
      <c r="C24" s="38"/>
      <c r="D24" s="38"/>
      <c r="J24" s="133" t="s">
        <v>23</v>
      </c>
      <c r="K24" s="134"/>
      <c r="L24" s="135" t="s">
        <v>24</v>
      </c>
      <c r="M24" s="136"/>
    </row>
    <row r="25" spans="1:15" ht="48" thickBot="1" x14ac:dyDescent="0.3">
      <c r="H25" s="1" t="s">
        <v>17</v>
      </c>
      <c r="I25" s="51" t="s">
        <v>25</v>
      </c>
      <c r="J25" s="52" t="s">
        <v>26</v>
      </c>
      <c r="K25" s="52" t="s">
        <v>27</v>
      </c>
      <c r="L25" s="116" t="s">
        <v>28</v>
      </c>
      <c r="M25" s="53" t="s">
        <v>29</v>
      </c>
    </row>
    <row r="26" spans="1:15" ht="16.5" thickBot="1" x14ac:dyDescent="0.3">
      <c r="I26" s="54">
        <v>2021</v>
      </c>
      <c r="J26" s="54">
        <v>20</v>
      </c>
      <c r="K26" s="115"/>
      <c r="L26" s="117"/>
      <c r="M26" s="114">
        <v>2021</v>
      </c>
    </row>
    <row r="27" spans="1:15" ht="16.5" thickBot="1" x14ac:dyDescent="0.3">
      <c r="I27" s="54">
        <v>2022</v>
      </c>
      <c r="J27" s="54"/>
      <c r="K27" s="115">
        <v>20</v>
      </c>
      <c r="L27" s="117"/>
      <c r="M27" s="114">
        <f>M26+1</f>
        <v>2022</v>
      </c>
    </row>
    <row r="28" spans="1:15" ht="16.5" thickBot="1" x14ac:dyDescent="0.3">
      <c r="I28" s="54">
        <v>2023</v>
      </c>
      <c r="J28" s="54">
        <v>25</v>
      </c>
      <c r="K28" s="115"/>
      <c r="L28" s="117"/>
      <c r="M28" s="114">
        <f t="shared" ref="M28:M35" si="7">M27+1</f>
        <v>2023</v>
      </c>
    </row>
    <row r="29" spans="1:15" ht="16.5" thickBot="1" x14ac:dyDescent="0.3">
      <c r="I29" s="54">
        <v>2024</v>
      </c>
      <c r="J29" s="54"/>
      <c r="K29" s="115"/>
      <c r="L29" s="117"/>
      <c r="M29" s="114">
        <f t="shared" si="7"/>
        <v>2024</v>
      </c>
      <c r="N29" s="1" t="s">
        <v>30</v>
      </c>
      <c r="O29" s="1" t="s">
        <v>31</v>
      </c>
    </row>
    <row r="30" spans="1:15" ht="16.5" thickBot="1" x14ac:dyDescent="0.3">
      <c r="I30" s="54">
        <v>2025</v>
      </c>
      <c r="J30" s="54"/>
      <c r="K30" s="115">
        <v>3</v>
      </c>
      <c r="L30" s="117"/>
      <c r="M30" s="114">
        <f t="shared" si="7"/>
        <v>2025</v>
      </c>
      <c r="N30" s="37">
        <f>SUM(L26:L30)</f>
        <v>0</v>
      </c>
      <c r="O30" s="37">
        <f>N30-J36</f>
        <v>-45</v>
      </c>
    </row>
    <row r="31" spans="1:15" ht="16.5" thickBot="1" x14ac:dyDescent="0.3">
      <c r="I31" s="54">
        <v>2026</v>
      </c>
      <c r="J31" s="54"/>
      <c r="K31" s="115">
        <v>15</v>
      </c>
      <c r="L31" s="117"/>
      <c r="M31" s="114">
        <f t="shared" si="7"/>
        <v>2026</v>
      </c>
    </row>
    <row r="32" spans="1:15" ht="16.5" thickBot="1" x14ac:dyDescent="0.3">
      <c r="I32" s="54">
        <v>2027</v>
      </c>
      <c r="J32" s="54"/>
      <c r="K32" s="115">
        <v>20</v>
      </c>
      <c r="L32" s="117"/>
      <c r="M32" s="114">
        <f t="shared" si="7"/>
        <v>2027</v>
      </c>
    </row>
    <row r="33" spans="9:16" ht="16.5" thickBot="1" x14ac:dyDescent="0.3">
      <c r="I33" s="54">
        <v>2028</v>
      </c>
      <c r="J33" s="54"/>
      <c r="K33" s="115"/>
      <c r="L33" s="117"/>
      <c r="M33" s="114">
        <f t="shared" si="7"/>
        <v>2028</v>
      </c>
    </row>
    <row r="34" spans="9:16" ht="16.5" thickBot="1" x14ac:dyDescent="0.3">
      <c r="I34" s="54">
        <v>2029</v>
      </c>
      <c r="J34" s="54"/>
      <c r="K34" s="115">
        <v>20</v>
      </c>
      <c r="L34" s="117"/>
      <c r="M34" s="114">
        <f t="shared" si="7"/>
        <v>2029</v>
      </c>
      <c r="N34" s="1" t="s">
        <v>31</v>
      </c>
    </row>
    <row r="35" spans="9:16" ht="16.5" thickBot="1" x14ac:dyDescent="0.3">
      <c r="I35" s="54">
        <v>2030</v>
      </c>
      <c r="J35" s="54"/>
      <c r="K35" s="115"/>
      <c r="L35" s="117"/>
      <c r="M35" s="114">
        <f t="shared" si="7"/>
        <v>2030</v>
      </c>
      <c r="N35" s="37">
        <f>SUM(L31:L35)</f>
        <v>0</v>
      </c>
    </row>
    <row r="36" spans="9:16" x14ac:dyDescent="0.25">
      <c r="I36" s="1" t="s">
        <v>32</v>
      </c>
      <c r="J36" s="1">
        <f>SUM(J26:J35)</f>
        <v>45</v>
      </c>
      <c r="K36" s="1">
        <f>SUM(K26:K35)</f>
        <v>78</v>
      </c>
      <c r="L36" s="37">
        <f>SUM(L26:L35)</f>
        <v>0</v>
      </c>
      <c r="P36" s="1" t="s">
        <v>17</v>
      </c>
    </row>
    <row r="37" spans="9:16" x14ac:dyDescent="0.25">
      <c r="K37" s="1">
        <f>SUM(J36:K36)</f>
        <v>123</v>
      </c>
      <c r="L37" s="1" t="s">
        <v>17</v>
      </c>
      <c r="M37" s="1" t="s">
        <v>17</v>
      </c>
    </row>
    <row r="38" spans="9:16" x14ac:dyDescent="0.25">
      <c r="J38" s="1" t="s">
        <v>17</v>
      </c>
    </row>
  </sheetData>
  <mergeCells count="18">
    <mergeCell ref="J19:N20"/>
    <mergeCell ref="O19:O20"/>
    <mergeCell ref="J24:K24"/>
    <mergeCell ref="L24:M24"/>
    <mergeCell ref="E18:F18"/>
    <mergeCell ref="G18:H18"/>
    <mergeCell ref="A19:A20"/>
    <mergeCell ref="C19:C20"/>
    <mergeCell ref="D19:D20"/>
    <mergeCell ref="E19:F20"/>
    <mergeCell ref="G19:H20"/>
    <mergeCell ref="B2:C2"/>
    <mergeCell ref="E3:F3"/>
    <mergeCell ref="G3:H3"/>
    <mergeCell ref="I3:J3"/>
    <mergeCell ref="E5:F5"/>
    <mergeCell ref="G5:H5"/>
    <mergeCell ref="I5:J5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1</vt:i4>
      </vt:variant>
    </vt:vector>
  </HeadingPairs>
  <TitlesOfParts>
    <vt:vector size="6" baseType="lpstr">
      <vt:lpstr>MoU-Proj Def</vt:lpstr>
      <vt:lpstr>FRANCE</vt:lpstr>
      <vt:lpstr>GANIL</vt:lpstr>
      <vt:lpstr>IN2P3</vt:lpstr>
      <vt:lpstr>IRFU</vt:lpstr>
      <vt:lpstr>taux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Bénédicte Million</dc:creator>
  <cp:lastModifiedBy>Clement Emmanuel</cp:lastModifiedBy>
  <dcterms:created xsi:type="dcterms:W3CDTF">2021-06-29T19:59:43Z</dcterms:created>
  <dcterms:modified xsi:type="dcterms:W3CDTF">2021-10-15T13:36:48Z</dcterms:modified>
</cp:coreProperties>
</file>